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240" windowWidth="21840" windowHeight="12120"/>
  </bookViews>
  <sheets>
    <sheet name="2 недельное" sheetId="17" r:id="rId1"/>
    <sheet name="Лист3" sheetId="23" state="hidden" r:id="rId2"/>
    <sheet name="Лист4" sheetId="24" state="hidden" r:id="rId3"/>
  </sheets>
  <definedNames>
    <definedName name="_xlnm._FilterDatabase" localSheetId="0" hidden="1">'2 недельное'!$A$1:$J$171</definedName>
    <definedName name="_xlnm.Print_Titles" localSheetId="0">'2 недельное'!$3:$7</definedName>
  </definedNames>
  <calcPr calcId="145621" fullCalcOnLoad="1" refMode="R1C1"/>
</workbook>
</file>

<file path=xl/calcChain.xml><?xml version="1.0" encoding="utf-8"?>
<calcChain xmlns="http://schemas.openxmlformats.org/spreadsheetml/2006/main">
  <c r="D128" i="17" l="1"/>
  <c r="D134" i="17" s="1"/>
  <c r="D34" i="17"/>
  <c r="D99" i="17"/>
  <c r="D110" i="17"/>
  <c r="D108" i="17"/>
  <c r="D95" i="17"/>
  <c r="D96" i="17" s="1"/>
  <c r="G92" i="17"/>
  <c r="F92" i="17"/>
  <c r="E92" i="17"/>
  <c r="D75" i="17"/>
  <c r="G77" i="17"/>
  <c r="F77" i="17"/>
  <c r="E77" i="17"/>
  <c r="D162" i="17"/>
  <c r="D146" i="17"/>
  <c r="G163" i="17"/>
  <c r="G147" i="17"/>
  <c r="E147" i="17"/>
  <c r="F130" i="17"/>
  <c r="D122" i="17"/>
  <c r="D126" i="17"/>
  <c r="G99" i="17"/>
  <c r="F99" i="17"/>
  <c r="E99" i="17"/>
  <c r="D101" i="17"/>
  <c r="G115" i="17"/>
  <c r="H39" i="17"/>
  <c r="H31" i="17"/>
  <c r="H21" i="17"/>
  <c r="E13" i="17"/>
  <c r="F13" i="17"/>
  <c r="H13" i="17"/>
  <c r="D13" i="17"/>
  <c r="H71" i="17"/>
  <c r="D80" i="17"/>
  <c r="D86" i="17"/>
  <c r="G70" i="17"/>
  <c r="G71" i="17" s="1"/>
  <c r="F70" i="17"/>
  <c r="E70" i="17"/>
  <c r="E71" i="17"/>
  <c r="F67" i="17"/>
  <c r="D67" i="17"/>
  <c r="D71" i="17" s="1"/>
  <c r="H86" i="17"/>
  <c r="H87" i="17" s="1"/>
  <c r="H88" i="17" s="1"/>
  <c r="C86" i="17"/>
  <c r="C87" i="17" s="1"/>
  <c r="G85" i="17"/>
  <c r="G86" i="17" s="1"/>
  <c r="G87" i="17" s="1"/>
  <c r="F85" i="17"/>
  <c r="E85" i="17"/>
  <c r="E86" i="17"/>
  <c r="E87" i="17" s="1"/>
  <c r="F83" i="17"/>
  <c r="F87" i="17" s="1"/>
  <c r="F82" i="17"/>
  <c r="F86" i="17"/>
  <c r="D47" i="17"/>
  <c r="C47" i="17"/>
  <c r="D26" i="17"/>
  <c r="D31" i="17"/>
  <c r="D16" i="17"/>
  <c r="D21" i="17"/>
  <c r="D38" i="17"/>
  <c r="G27" i="17"/>
  <c r="G31" i="17" s="1"/>
  <c r="G40" i="17" s="1"/>
  <c r="F27" i="17"/>
  <c r="E27" i="17"/>
  <c r="F71" i="17"/>
  <c r="D118" i="17"/>
  <c r="G76" i="17"/>
  <c r="G80" i="17" s="1"/>
  <c r="F75" i="17"/>
  <c r="F80" i="17" s="1"/>
  <c r="F88" i="17" s="1"/>
  <c r="E75" i="17"/>
  <c r="E80" i="17" s="1"/>
  <c r="E88" i="17" s="1"/>
  <c r="G154" i="17"/>
  <c r="F146" i="17"/>
  <c r="F138" i="17"/>
  <c r="F142" i="17"/>
  <c r="G138" i="17"/>
  <c r="G142" i="17"/>
  <c r="G122" i="17"/>
  <c r="F122" i="17"/>
  <c r="G107" i="17"/>
  <c r="G111" i="17"/>
  <c r="G91" i="17"/>
  <c r="G96" i="17"/>
  <c r="F91" i="17"/>
  <c r="F96" i="17"/>
  <c r="E91" i="17"/>
  <c r="E96" i="17" s="1"/>
  <c r="G60" i="17"/>
  <c r="G63" i="17" s="1"/>
  <c r="E60" i="17"/>
  <c r="F50" i="17"/>
  <c r="F55" i="17" s="1"/>
  <c r="E50" i="17"/>
  <c r="E49" i="17"/>
  <c r="G43" i="17"/>
  <c r="F43" i="17"/>
  <c r="E43" i="17"/>
  <c r="F26" i="17"/>
  <c r="F31" i="17" s="1"/>
  <c r="E26" i="17"/>
  <c r="E31" i="17" s="1"/>
  <c r="E40" i="17" s="1"/>
  <c r="D138" i="17"/>
  <c r="D140" i="17"/>
  <c r="D51" i="17"/>
  <c r="D55" i="17" s="1"/>
  <c r="C55" i="17"/>
  <c r="G123" i="17"/>
  <c r="D87" i="17"/>
  <c r="D39" i="17"/>
  <c r="G158" i="17"/>
  <c r="F158" i="17"/>
  <c r="F159" i="17"/>
  <c r="E158" i="17"/>
  <c r="E159" i="17"/>
  <c r="G133" i="17"/>
  <c r="F133" i="17"/>
  <c r="E133" i="17"/>
  <c r="G125" i="17"/>
  <c r="F125" i="17"/>
  <c r="E125" i="17"/>
  <c r="E126" i="17" s="1"/>
  <c r="E135" i="17" s="1"/>
  <c r="G62" i="17"/>
  <c r="F62" i="17"/>
  <c r="E62" i="17"/>
  <c r="G54" i="17"/>
  <c r="F54" i="17"/>
  <c r="E54" i="17"/>
  <c r="C13" i="17"/>
  <c r="H134" i="17"/>
  <c r="C134" i="17"/>
  <c r="C118" i="17"/>
  <c r="E53" i="17"/>
  <c r="F53" i="17"/>
  <c r="G53" i="17"/>
  <c r="G55" i="17" s="1"/>
  <c r="F34" i="17"/>
  <c r="H63" i="17"/>
  <c r="D63" i="17"/>
  <c r="C63" i="17"/>
  <c r="F59" i="17"/>
  <c r="E59" i="17"/>
  <c r="E63" i="17"/>
  <c r="H80" i="17"/>
  <c r="C80" i="17"/>
  <c r="D107" i="17"/>
  <c r="D111" i="17"/>
  <c r="F24" i="23"/>
  <c r="E23" i="23"/>
  <c r="F23" i="23" s="1"/>
  <c r="E24" i="23"/>
  <c r="E25" i="23"/>
  <c r="F25" i="23" s="1"/>
  <c r="F29" i="23"/>
  <c r="F19" i="23"/>
  <c r="F16" i="17"/>
  <c r="E16" i="17"/>
  <c r="E21" i="17" s="1"/>
  <c r="E22" i="17" s="1"/>
  <c r="F129" i="17"/>
  <c r="F134" i="17" s="1"/>
  <c r="E129" i="17"/>
  <c r="E134" i="17"/>
  <c r="G165" i="17"/>
  <c r="G166" i="17"/>
  <c r="F165" i="17"/>
  <c r="E165" i="17"/>
  <c r="E166" i="17" s="1"/>
  <c r="E167" i="17" s="1"/>
  <c r="G149" i="17"/>
  <c r="G150" i="17"/>
  <c r="G151" i="17" s="1"/>
  <c r="F149" i="17"/>
  <c r="F150" i="17" s="1"/>
  <c r="F151" i="17" s="1"/>
  <c r="E149" i="17"/>
  <c r="E150" i="17"/>
  <c r="G132" i="17"/>
  <c r="F132" i="17"/>
  <c r="E132" i="17"/>
  <c r="G117" i="17"/>
  <c r="G118" i="17" s="1"/>
  <c r="G119" i="17" s="1"/>
  <c r="F117" i="17"/>
  <c r="F118" i="17"/>
  <c r="E117" i="17"/>
  <c r="G102" i="17"/>
  <c r="G103" i="17" s="1"/>
  <c r="G104" i="17" s="1"/>
  <c r="F102" i="17"/>
  <c r="F103" i="17" s="1"/>
  <c r="E102" i="17"/>
  <c r="E103" i="17" s="1"/>
  <c r="G37" i="17"/>
  <c r="G39" i="17" s="1"/>
  <c r="F37" i="17"/>
  <c r="F39" i="17" s="1"/>
  <c r="E37" i="17"/>
  <c r="G38" i="17"/>
  <c r="F38" i="17"/>
  <c r="E38" i="17"/>
  <c r="G20" i="17"/>
  <c r="F20" i="17"/>
  <c r="F21" i="17" s="1"/>
  <c r="F22" i="17" s="1"/>
  <c r="E20" i="17"/>
  <c r="H166" i="17"/>
  <c r="C166" i="17"/>
  <c r="C21" i="17"/>
  <c r="C71" i="17"/>
  <c r="H150" i="17"/>
  <c r="C150" i="17"/>
  <c r="E142" i="17"/>
  <c r="H142" i="17"/>
  <c r="C142" i="17"/>
  <c r="C103" i="17"/>
  <c r="C96" i="17"/>
  <c r="C39" i="17"/>
  <c r="T5" i="24"/>
  <c r="U5" i="24" s="1"/>
  <c r="T4" i="24"/>
  <c r="U4" i="24" s="1"/>
  <c r="O5" i="24"/>
  <c r="P5" i="24" s="1"/>
  <c r="O4" i="24"/>
  <c r="P4" i="24" s="1"/>
  <c r="J5" i="24"/>
  <c r="K5" i="24" s="1"/>
  <c r="J4" i="24"/>
  <c r="K4" i="24" s="1"/>
  <c r="E5" i="24"/>
  <c r="F5" i="24" s="1"/>
  <c r="E4" i="24"/>
  <c r="F4" i="24" s="1"/>
  <c r="D22" i="23"/>
  <c r="E22" i="23" s="1"/>
  <c r="F22" i="23" s="1"/>
  <c r="E28" i="23"/>
  <c r="F28" i="23" s="1"/>
  <c r="E29" i="23"/>
  <c r="E27" i="23"/>
  <c r="F27" i="23" s="1"/>
  <c r="E20" i="23"/>
  <c r="F20" i="23" s="1"/>
  <c r="E21" i="23"/>
  <c r="F21" i="23" s="1"/>
  <c r="H21" i="23" s="1"/>
  <c r="E19" i="23"/>
  <c r="D30" i="23"/>
  <c r="E30" i="23" s="1"/>
  <c r="F30" i="23" s="1"/>
  <c r="H30" i="23" s="1"/>
  <c r="H118" i="17"/>
  <c r="H126" i="17"/>
  <c r="G10" i="17"/>
  <c r="G13" i="17" s="1"/>
  <c r="G22" i="17" s="1"/>
  <c r="D159" i="17"/>
  <c r="H47" i="17"/>
  <c r="H56" i="17" s="1"/>
  <c r="G44" i="17"/>
  <c r="G47" i="17" s="1"/>
  <c r="G56" i="17" s="1"/>
  <c r="F44" i="17"/>
  <c r="F47" i="17" s="1"/>
  <c r="F56" i="17" s="1"/>
  <c r="E44" i="17"/>
  <c r="D103" i="17"/>
  <c r="E111" i="17"/>
  <c r="H111" i="17"/>
  <c r="H119" i="17" s="1"/>
  <c r="C111" i="17"/>
  <c r="H96" i="17"/>
  <c r="C31" i="17"/>
  <c r="G19" i="17"/>
  <c r="F19" i="17"/>
  <c r="E19" i="17"/>
  <c r="H159" i="17"/>
  <c r="H167" i="17"/>
  <c r="H103" i="17"/>
  <c r="H55" i="17"/>
  <c r="C126" i="17"/>
  <c r="C159" i="17"/>
  <c r="F111" i="17"/>
  <c r="D166" i="17"/>
  <c r="G134" i="17"/>
  <c r="G159" i="17"/>
  <c r="G167" i="17" s="1"/>
  <c r="G21" i="17"/>
  <c r="E47" i="17"/>
  <c r="E39" i="17"/>
  <c r="G126" i="17"/>
  <c r="D142" i="17"/>
  <c r="F63" i="17"/>
  <c r="E55" i="17"/>
  <c r="E56" i="17" s="1"/>
  <c r="D150" i="17"/>
  <c r="F166" i="17"/>
  <c r="F167" i="17"/>
  <c r="E118" i="17"/>
  <c r="F126" i="17"/>
  <c r="F135" i="17" s="1"/>
  <c r="F72" i="17"/>
  <c r="H22" i="17"/>
  <c r="H40" i="17"/>
  <c r="F119" i="17"/>
  <c r="H135" i="17"/>
  <c r="H151" i="17"/>
  <c r="E151" i="17"/>
  <c r="H72" i="17"/>
  <c r="H104" i="17"/>
  <c r="G135" i="17"/>
  <c r="E119" i="17"/>
  <c r="E72" i="17"/>
  <c r="E168" i="17" l="1"/>
  <c r="E169" i="17" s="1"/>
  <c r="E104" i="17"/>
  <c r="H168" i="17"/>
  <c r="H169" i="17" s="1"/>
  <c r="F6" i="24"/>
  <c r="F7" i="24" s="1"/>
  <c r="K6" i="24"/>
  <c r="K7" i="24" s="1"/>
  <c r="P6" i="24"/>
  <c r="P7" i="24" s="1"/>
  <c r="U6" i="24"/>
  <c r="U7" i="24" s="1"/>
  <c r="F40" i="17"/>
  <c r="F168" i="17" s="1"/>
  <c r="F169" i="17" s="1"/>
  <c r="G72" i="17"/>
  <c r="G168" i="17" s="1"/>
  <c r="G169" i="17" s="1"/>
  <c r="F104" i="17"/>
  <c r="G88" i="17"/>
</calcChain>
</file>

<file path=xl/sharedStrings.xml><?xml version="1.0" encoding="utf-8"?>
<sst xmlns="http://schemas.openxmlformats.org/spreadsheetml/2006/main" count="294" uniqueCount="131">
  <si>
    <t>Хлеб пшеничный</t>
  </si>
  <si>
    <t>Б</t>
  </si>
  <si>
    <t>Ж</t>
  </si>
  <si>
    <t>У</t>
  </si>
  <si>
    <t>Хлеб ржаной</t>
  </si>
  <si>
    <t>Масса порции          (г)</t>
  </si>
  <si>
    <t>Пищевые вещества (г )</t>
  </si>
  <si>
    <t>Энергетическая ценность (ккал)</t>
  </si>
  <si>
    <t>Итого за день</t>
  </si>
  <si>
    <t>Завтрак</t>
  </si>
  <si>
    <t xml:space="preserve">Обед </t>
  </si>
  <si>
    <t xml:space="preserve">Завтрак </t>
  </si>
  <si>
    <t xml:space="preserve">   Наименование бдюда</t>
  </si>
  <si>
    <t>№ рецептур</t>
  </si>
  <si>
    <t>неделя: 1               день1: понедельник</t>
  </si>
  <si>
    <t>неделя: 1               день2: вторник</t>
  </si>
  <si>
    <t>неделя: 1               день3: среда</t>
  </si>
  <si>
    <t>неделя: 1               день4: четверг</t>
  </si>
  <si>
    <t>неделя: 1               день5: пятница</t>
  </si>
  <si>
    <t>Рожки отварные</t>
  </si>
  <si>
    <t>Каша гречневая рассыпчатая</t>
  </si>
  <si>
    <t>Итого</t>
  </si>
  <si>
    <t>Омлет натуральный</t>
  </si>
  <si>
    <t>Кондитерское изделия</t>
  </si>
  <si>
    <t>Картофельное пюре</t>
  </si>
  <si>
    <t xml:space="preserve">Компот плодово-ягодный </t>
  </si>
  <si>
    <t>Чай с сахаром</t>
  </si>
  <si>
    <t>Цена</t>
  </si>
  <si>
    <t xml:space="preserve">Щи из св.капусты с картофелем </t>
  </si>
  <si>
    <t>Компот из сухофруктов</t>
  </si>
  <si>
    <t>Рассольник "Ленинградский"</t>
  </si>
  <si>
    <t>Суп  лапша куриная</t>
  </si>
  <si>
    <t>Фрукт</t>
  </si>
  <si>
    <t>Макароны отварные</t>
  </si>
  <si>
    <t>пр</t>
  </si>
  <si>
    <t>1.5</t>
  </si>
  <si>
    <t>1.6</t>
  </si>
  <si>
    <t>183</t>
  </si>
  <si>
    <t>7.10</t>
  </si>
  <si>
    <t>Щи из св.капусты с картофелем</t>
  </si>
  <si>
    <t>Итого за  10 дней:</t>
  </si>
  <si>
    <t xml:space="preserve">         Итого в среднем за день :</t>
  </si>
  <si>
    <t>неделя: 1               день6: понедельник</t>
  </si>
  <si>
    <t>неделя: 2               день7: вторник</t>
  </si>
  <si>
    <t>неделя: 2               день8: среда</t>
  </si>
  <si>
    <t>неделя: 2               день9: четверг</t>
  </si>
  <si>
    <t>неделя: 2               день 10: пятница</t>
  </si>
  <si>
    <t>Плов с мясом</t>
  </si>
  <si>
    <t>Обед</t>
  </si>
  <si>
    <t>обед</t>
  </si>
  <si>
    <t>Икра кабачковая</t>
  </si>
  <si>
    <t>Напиток лимонный</t>
  </si>
  <si>
    <t>Шипилина</t>
  </si>
  <si>
    <t>Сирофимовна</t>
  </si>
  <si>
    <t>каша</t>
  </si>
  <si>
    <t>сыр</t>
  </si>
  <si>
    <t>ветчина</t>
  </si>
  <si>
    <t>фрукт</t>
  </si>
  <si>
    <t>кондитерка</t>
  </si>
  <si>
    <t>рубка</t>
  </si>
  <si>
    <t>порционка</t>
  </si>
  <si>
    <t>мешанина</t>
  </si>
  <si>
    <t>овощи</t>
  </si>
  <si>
    <t>гречка</t>
  </si>
  <si>
    <t>картошка</t>
  </si>
  <si>
    <t>рис</t>
  </si>
  <si>
    <t>макароны</t>
  </si>
  <si>
    <t>яйцо</t>
  </si>
  <si>
    <t>омлет</t>
  </si>
  <si>
    <t>рыба котлета</t>
  </si>
  <si>
    <t>рыба</t>
  </si>
  <si>
    <t>запеканка</t>
  </si>
  <si>
    <t>сырники</t>
  </si>
  <si>
    <t>блины</t>
  </si>
  <si>
    <t>печень</t>
  </si>
  <si>
    <t>пюре картоф</t>
  </si>
  <si>
    <t>капуста</t>
  </si>
  <si>
    <t>Упех</t>
  </si>
  <si>
    <t>оладьи</t>
  </si>
  <si>
    <t>Ежик</t>
  </si>
  <si>
    <t>тефтеля</t>
  </si>
  <si>
    <t>Фрикаделька</t>
  </si>
  <si>
    <t>Котлета мясная</t>
  </si>
  <si>
    <t>Бисквит</t>
  </si>
  <si>
    <t>Кол-во дн. в меню</t>
  </si>
  <si>
    <t>Потребность на 1 порцию</t>
  </si>
  <si>
    <t>Кол-во ч/дн</t>
  </si>
  <si>
    <t>Итого потребность на 10 дней</t>
  </si>
  <si>
    <t>Итого потребность на месяц</t>
  </si>
  <si>
    <t>Потребность кг.</t>
  </si>
  <si>
    <t>Гоголь</t>
  </si>
  <si>
    <t>биточек КУРИНЫЙ</t>
  </si>
  <si>
    <t>Биточек НЕЖНЫЙ</t>
  </si>
  <si>
    <t xml:space="preserve">Рис отварной </t>
  </si>
  <si>
    <t>чел/дн</t>
  </si>
  <si>
    <t>шт/гр</t>
  </si>
  <si>
    <t>10 дн /кг.</t>
  </si>
  <si>
    <t>месяц/кг</t>
  </si>
  <si>
    <t>кол-во раз / меню</t>
  </si>
  <si>
    <t>Сырники</t>
  </si>
  <si>
    <t>Блины</t>
  </si>
  <si>
    <t>Оладьи</t>
  </si>
  <si>
    <t>Борщ с капустой , картофелем на м/к бульоне</t>
  </si>
  <si>
    <t>Мармелад желейный</t>
  </si>
  <si>
    <t xml:space="preserve">Биточек куриный в соусе бешамель </t>
  </si>
  <si>
    <t xml:space="preserve">Котлета мясная  в томатном соусе </t>
  </si>
  <si>
    <t xml:space="preserve">Фрикадельки  в томатном соусе </t>
  </si>
  <si>
    <t>Сырники с молочным соусом  (100/30) или Запеканка творожная с рисом с молочным соусом (100/30)</t>
  </si>
  <si>
    <t xml:space="preserve">Тефтели  в томатном  соусе </t>
  </si>
  <si>
    <t xml:space="preserve">Биточек мясной  "нежный" в томатном соусе  </t>
  </si>
  <si>
    <t>Овощи порционные</t>
  </si>
  <si>
    <t>ПР</t>
  </si>
  <si>
    <t xml:space="preserve">Фрукт </t>
  </si>
  <si>
    <t>Оладьи с повидлом  110/40</t>
  </si>
  <si>
    <t>Филе куриное тушеное в соусе томатном45/45</t>
  </si>
  <si>
    <t xml:space="preserve">Филе куриное в молочном соусе </t>
  </si>
  <si>
    <t>Блинчики со сгущенным молоком  130/40</t>
  </si>
  <si>
    <t>Каша молочная Пшенная  или  Гречневая</t>
  </si>
  <si>
    <t>Бутерброт с сыром 30/20</t>
  </si>
  <si>
    <t>Котлета рыбная с соусом</t>
  </si>
  <si>
    <t>Жаркое по- домашнему с мясом птицы</t>
  </si>
  <si>
    <t xml:space="preserve">Кондитерское изделия </t>
  </si>
  <si>
    <t>Суп с макаронными изделиями или  Суп рыбный с крупой</t>
  </si>
  <si>
    <t>Ёжик аппетитный  в соусе</t>
  </si>
  <si>
    <t>Гуляш из мяса 45/45</t>
  </si>
  <si>
    <t xml:space="preserve">Филе куриное в панировке </t>
  </si>
  <si>
    <t>Пирожное школьное или кондитерское ( 1 шт.)</t>
  </si>
  <si>
    <t xml:space="preserve">Чай с сахаром </t>
  </si>
  <si>
    <t>Каша молочная рисовая или дружба с м/с</t>
  </si>
  <si>
    <t>Суп картофельный с бобовыми  на м/к бульоне</t>
  </si>
  <si>
    <t xml:space="preserve">Меню приготавливаемых блюд  для детей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</si>
</sst>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2" formatCode="0.0"/>
  </numFmts>
  <fonts count="17" x14ac:knownFonts="1">
    <font>
      <sz val="10"/>
      <name val="Arial Cyr"/>
      <charset val="204"/>
    </font>
    <font>
      <sz val="10"/>
      <name val="Arial Cyr"/>
      <charset val="204"/>
    </font>
    <font>
      <sz val="12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b/>
      <sz val="14"/>
      <name val="Arial Cyr"/>
      <charset val="204"/>
    </font>
    <font>
      <sz val="18"/>
      <name val="Arial Cyr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4">
    <xf numFmtId="0" fontId="0" fillId="0" borderId="0" xfId="0"/>
    <xf numFmtId="0" fontId="4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/>
    <xf numFmtId="4" fontId="3" fillId="0" borderId="1" xfId="0" applyNumberFormat="1" applyFont="1" applyFill="1" applyBorder="1" applyAlignment="1">
      <alignment vertical="top" wrapText="1"/>
    </xf>
    <xf numFmtId="2" fontId="3" fillId="0" borderId="1" xfId="0" applyNumberFormat="1" applyFont="1" applyFill="1" applyBorder="1" applyAlignment="1">
      <alignment vertical="top" wrapText="1"/>
    </xf>
    <xf numFmtId="0" fontId="12" fillId="0" borderId="0" xfId="0" applyFont="1" applyFill="1"/>
    <xf numFmtId="0" fontId="13" fillId="0" borderId="0" xfId="0" applyFont="1" applyFill="1"/>
    <xf numFmtId="0" fontId="7" fillId="0" borderId="1" xfId="0" applyFont="1" applyFill="1" applyBorder="1" applyAlignment="1">
      <alignment horizontal="right"/>
    </xf>
    <xf numFmtId="4" fontId="3" fillId="0" borderId="0" xfId="0" applyNumberFormat="1" applyFont="1" applyFill="1" applyBorder="1" applyAlignment="1">
      <alignment vertical="top" wrapText="1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top" wrapText="1"/>
    </xf>
    <xf numFmtId="0" fontId="4" fillId="0" borderId="1" xfId="0" applyFont="1" applyFill="1" applyBorder="1" applyAlignment="1"/>
    <xf numFmtId="0" fontId="6" fillId="0" borderId="1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2" fontId="4" fillId="0" borderId="1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/>
    <xf numFmtId="0" fontId="3" fillId="0" borderId="0" xfId="0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vertical="center"/>
    </xf>
    <xf numFmtId="0" fontId="6" fillId="0" borderId="1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3" fillId="0" borderId="2" xfId="0" applyFont="1" applyFill="1" applyBorder="1" applyAlignment="1">
      <alignment vertical="top" wrapText="1"/>
    </xf>
    <xf numFmtId="0" fontId="3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top" wrapText="1"/>
    </xf>
    <xf numFmtId="1" fontId="4" fillId="0" borderId="1" xfId="0" applyNumberFormat="1" applyFont="1" applyFill="1" applyBorder="1" applyAlignment="1">
      <alignment horizontal="center" vertical="top" wrapText="1"/>
    </xf>
    <xf numFmtId="1" fontId="4" fillId="0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/>
    <xf numFmtId="0" fontId="4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vertical="top" wrapText="1"/>
    </xf>
    <xf numFmtId="0" fontId="3" fillId="0" borderId="5" xfId="0" applyFont="1" applyFill="1" applyBorder="1" applyAlignment="1">
      <alignment horizontal="center" vertical="top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0" xfId="0" applyNumberFormat="1" applyFont="1" applyFill="1" applyBorder="1" applyAlignment="1">
      <alignment vertical="center" wrapText="1"/>
    </xf>
    <xf numFmtId="2" fontId="3" fillId="0" borderId="3" xfId="0" applyNumberFormat="1" applyFont="1" applyFill="1" applyBorder="1" applyAlignment="1">
      <alignment vertical="center" wrapText="1"/>
    </xf>
    <xf numFmtId="2" fontId="4" fillId="0" borderId="6" xfId="0" applyNumberFormat="1" applyFont="1" applyFill="1" applyBorder="1" applyAlignment="1">
      <alignment vertical="center" wrapText="1"/>
    </xf>
    <xf numFmtId="2" fontId="3" fillId="0" borderId="5" xfId="0" applyNumberFormat="1" applyFont="1" applyFill="1" applyBorder="1" applyAlignment="1">
      <alignment vertical="center" wrapText="1"/>
    </xf>
    <xf numFmtId="2" fontId="2" fillId="0" borderId="0" xfId="0" applyNumberFormat="1" applyFont="1" applyFill="1" applyAlignment="1">
      <alignment vertical="center" wrapText="1"/>
    </xf>
    <xf numFmtId="2" fontId="6" fillId="0" borderId="1" xfId="0" applyNumberFormat="1" applyFont="1" applyFill="1" applyBorder="1" applyAlignment="1">
      <alignment vertical="center" wrapText="1"/>
    </xf>
    <xf numFmtId="0" fontId="15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" fontId="3" fillId="0" borderId="1" xfId="0" applyNumberFormat="1" applyFont="1" applyFill="1" applyBorder="1" applyAlignment="1">
      <alignment horizontal="center" vertical="top" wrapText="1"/>
    </xf>
    <xf numFmtId="1" fontId="6" fillId="0" borderId="1" xfId="0" applyNumberFormat="1" applyFont="1" applyFill="1" applyBorder="1" applyAlignment="1">
      <alignment horizontal="center"/>
    </xf>
    <xf numFmtId="2" fontId="6" fillId="0" borderId="1" xfId="0" applyNumberFormat="1" applyFont="1" applyFill="1" applyBorder="1" applyAlignment="1">
      <alignment wrapText="1"/>
    </xf>
    <xf numFmtId="0" fontId="3" fillId="0" borderId="2" xfId="0" applyFont="1" applyFill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" vertical="top" wrapText="1"/>
    </xf>
    <xf numFmtId="1" fontId="2" fillId="0" borderId="0" xfId="0" applyNumberFormat="1" applyFont="1" applyFill="1" applyAlignment="1">
      <alignment horizontal="center"/>
    </xf>
    <xf numFmtId="1" fontId="4" fillId="0" borderId="1" xfId="0" applyNumberFormat="1" applyFont="1" applyFill="1" applyBorder="1" applyAlignment="1">
      <alignment horizontal="center" vertical="center"/>
    </xf>
    <xf numFmtId="1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 vertical="center"/>
    </xf>
    <xf numFmtId="3" fontId="6" fillId="0" borderId="1" xfId="0" applyNumberFormat="1" applyFont="1" applyFill="1" applyBorder="1" applyAlignment="1">
      <alignment horizontal="center"/>
    </xf>
    <xf numFmtId="1" fontId="4" fillId="0" borderId="6" xfId="0" applyNumberFormat="1" applyFont="1" applyFill="1" applyBorder="1" applyAlignment="1">
      <alignment horizontal="center" vertical="center"/>
    </xf>
    <xf numFmtId="1" fontId="3" fillId="0" borderId="0" xfId="0" applyNumberFormat="1" applyFont="1" applyFill="1" applyBorder="1" applyAlignment="1">
      <alignment horizontal="center" vertical="top" wrapText="1"/>
    </xf>
    <xf numFmtId="1" fontId="4" fillId="0" borderId="6" xfId="0" applyNumberFormat="1" applyFont="1" applyFill="1" applyBorder="1" applyAlignment="1">
      <alignment horizontal="center"/>
    </xf>
    <xf numFmtId="0" fontId="14" fillId="0" borderId="1" xfId="0" applyFont="1" applyFill="1" applyBorder="1"/>
    <xf numFmtId="1" fontId="3" fillId="0" borderId="1" xfId="0" applyNumberFormat="1" applyFont="1" applyFill="1" applyBorder="1" applyAlignment="1">
      <alignment vertical="center" wrapText="1"/>
    </xf>
    <xf numFmtId="4" fontId="3" fillId="0" borderId="3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/>
    </xf>
    <xf numFmtId="2" fontId="7" fillId="0" borderId="1" xfId="0" applyNumberFormat="1" applyFont="1" applyFill="1" applyBorder="1" applyAlignment="1"/>
    <xf numFmtId="172" fontId="3" fillId="0" borderId="1" xfId="0" applyNumberFormat="1" applyFont="1" applyFill="1" applyBorder="1" applyAlignment="1">
      <alignment vertical="center" wrapText="1"/>
    </xf>
    <xf numFmtId="0" fontId="6" fillId="0" borderId="7" xfId="0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center" vertical="top" wrapText="1"/>
    </xf>
    <xf numFmtId="2" fontId="3" fillId="0" borderId="2" xfId="0" applyNumberFormat="1" applyFont="1" applyFill="1" applyBorder="1" applyAlignment="1">
      <alignment vertical="center" wrapText="1"/>
    </xf>
    <xf numFmtId="2" fontId="3" fillId="0" borderId="2" xfId="0" applyNumberFormat="1" applyFont="1" applyFill="1" applyBorder="1" applyAlignment="1">
      <alignment vertical="top" wrapText="1"/>
    </xf>
    <xf numFmtId="2" fontId="6" fillId="0" borderId="1" xfId="0" applyNumberFormat="1" applyFont="1" applyFill="1" applyBorder="1" applyAlignment="1">
      <alignment horizontal="right"/>
    </xf>
    <xf numFmtId="2" fontId="4" fillId="0" borderId="1" xfId="0" applyNumberFormat="1" applyFont="1" applyFill="1" applyBorder="1" applyAlignment="1">
      <alignment horizontal="right" vertical="top" wrapText="1"/>
    </xf>
    <xf numFmtId="2" fontId="3" fillId="0" borderId="1" xfId="0" applyNumberFormat="1" applyFont="1" applyFill="1" applyBorder="1" applyAlignment="1">
      <alignment horizontal="right" vertical="top" wrapText="1"/>
    </xf>
    <xf numFmtId="0" fontId="14" fillId="0" borderId="1" xfId="0" applyFont="1" applyFill="1" applyBorder="1" applyAlignment="1"/>
    <xf numFmtId="0" fontId="10" fillId="0" borderId="1" xfId="0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9" fillId="0" borderId="1" xfId="0" applyFont="1" applyBorder="1"/>
    <xf numFmtId="1" fontId="9" fillId="0" borderId="1" xfId="0" applyNumberFormat="1" applyFont="1" applyBorder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right"/>
    </xf>
    <xf numFmtId="1" fontId="0" fillId="0" borderId="1" xfId="0" applyNumberFormat="1" applyBorder="1"/>
    <xf numFmtId="0" fontId="8" fillId="0" borderId="1" xfId="0" applyFont="1" applyBorder="1"/>
    <xf numFmtId="4" fontId="3" fillId="0" borderId="1" xfId="0" applyNumberFormat="1" applyFont="1" applyFill="1" applyBorder="1" applyAlignment="1">
      <alignment horizontal="right" vertical="top" wrapText="1"/>
    </xf>
    <xf numFmtId="0" fontId="14" fillId="0" borderId="1" xfId="0" applyFont="1" applyFill="1" applyBorder="1" applyAlignment="1">
      <alignment vertical="center" wrapText="1"/>
    </xf>
    <xf numFmtId="0" fontId="11" fillId="0" borderId="1" xfId="0" applyFont="1" applyBorder="1"/>
    <xf numFmtId="0" fontId="16" fillId="0" borderId="1" xfId="0" applyFont="1" applyFill="1" applyBorder="1"/>
    <xf numFmtId="0" fontId="4" fillId="0" borderId="8" xfId="0" applyFont="1" applyFill="1" applyBorder="1" applyAlignment="1">
      <alignment horizontal="center"/>
    </xf>
    <xf numFmtId="0" fontId="14" fillId="0" borderId="8" xfId="0" applyFont="1" applyFill="1" applyBorder="1" applyAlignment="1">
      <alignment vertical="center" wrapText="1"/>
    </xf>
    <xf numFmtId="49" fontId="4" fillId="0" borderId="8" xfId="0" applyNumberFormat="1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/>
    <xf numFmtId="0" fontId="6" fillId="0" borderId="8" xfId="0" applyFont="1" applyFill="1" applyBorder="1" applyAlignment="1">
      <alignment vertical="center"/>
    </xf>
    <xf numFmtId="0" fontId="4" fillId="0" borderId="8" xfId="0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right"/>
    </xf>
    <xf numFmtId="1" fontId="4" fillId="0" borderId="4" xfId="0" applyNumberFormat="1" applyFont="1" applyFill="1" applyBorder="1" applyAlignment="1">
      <alignment horizontal="center" vertical="top" wrapText="1"/>
    </xf>
    <xf numFmtId="1" fontId="6" fillId="0" borderId="4" xfId="0" applyNumberFormat="1" applyFont="1" applyFill="1" applyBorder="1" applyAlignment="1">
      <alignment horizontal="center" vertical="center"/>
    </xf>
    <xf numFmtId="1" fontId="6" fillId="0" borderId="4" xfId="0" applyNumberFormat="1" applyFont="1" applyFill="1" applyBorder="1" applyAlignment="1">
      <alignment horizontal="center"/>
    </xf>
    <xf numFmtId="0" fontId="4" fillId="0" borderId="8" xfId="0" applyFont="1" applyFill="1" applyBorder="1" applyAlignment="1">
      <alignment vertical="top" wrapText="1"/>
    </xf>
    <xf numFmtId="49" fontId="4" fillId="0" borderId="6" xfId="0" applyNumberFormat="1" applyFont="1" applyFill="1" applyBorder="1" applyAlignment="1">
      <alignment horizontal="center"/>
    </xf>
    <xf numFmtId="0" fontId="7" fillId="0" borderId="9" xfId="0" applyFont="1" applyFill="1" applyBorder="1" applyAlignment="1">
      <alignment horizontal="right"/>
    </xf>
    <xf numFmtId="1" fontId="3" fillId="0" borderId="9" xfId="0" applyNumberFormat="1" applyFont="1" applyFill="1" applyBorder="1" applyAlignment="1">
      <alignment horizontal="center" vertical="top" wrapText="1"/>
    </xf>
    <xf numFmtId="2" fontId="3" fillId="0" borderId="9" xfId="0" applyNumberFormat="1" applyFont="1" applyFill="1" applyBorder="1" applyAlignment="1">
      <alignment vertical="center" wrapText="1"/>
    </xf>
    <xf numFmtId="0" fontId="4" fillId="0" borderId="8" xfId="0" applyFont="1" applyFill="1" applyBorder="1" applyAlignment="1"/>
    <xf numFmtId="0" fontId="14" fillId="0" borderId="8" xfId="0" applyFont="1" applyFill="1" applyBorder="1" applyAlignment="1"/>
    <xf numFmtId="0" fontId="6" fillId="0" borderId="8" xfId="0" applyNumberFormat="1" applyFont="1" applyFill="1" applyBorder="1" applyAlignment="1">
      <alignment vertical="center" wrapText="1"/>
    </xf>
    <xf numFmtId="2" fontId="4" fillId="0" borderId="1" xfId="0" applyNumberFormat="1" applyFont="1" applyFill="1" applyBorder="1" applyAlignment="1">
      <alignment horizontal="right" wrapText="1"/>
    </xf>
    <xf numFmtId="4" fontId="6" fillId="0" borderId="1" xfId="0" applyNumberFormat="1" applyFont="1" applyFill="1" applyBorder="1" applyAlignment="1">
      <alignment wrapText="1"/>
    </xf>
    <xf numFmtId="4" fontId="4" fillId="0" borderId="1" xfId="0" applyNumberFormat="1" applyFont="1" applyFill="1" applyBorder="1" applyAlignment="1">
      <alignment wrapText="1"/>
    </xf>
    <xf numFmtId="2" fontId="3" fillId="0" borderId="1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 vertical="top" wrapText="1"/>
    </xf>
    <xf numFmtId="0" fontId="3" fillId="0" borderId="7" xfId="0" applyFont="1" applyFill="1" applyBorder="1" applyAlignment="1">
      <alignment horizontal="center" vertical="top" wrapText="1"/>
    </xf>
    <xf numFmtId="0" fontId="3" fillId="0" borderId="2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horizontal="center" vertical="top" wrapText="1"/>
    </xf>
    <xf numFmtId="0" fontId="4" fillId="0" borderId="9" xfId="0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center" vertical="top" wrapText="1"/>
    </xf>
    <xf numFmtId="0" fontId="3" fillId="0" borderId="13" xfId="0" applyFont="1" applyFill="1" applyBorder="1" applyAlignment="1">
      <alignment horizontal="center" vertical="top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1" fontId="4" fillId="0" borderId="10" xfId="0" applyNumberFormat="1" applyFont="1" applyFill="1" applyBorder="1" applyAlignment="1">
      <alignment horizontal="center" vertical="top" wrapText="1"/>
    </xf>
    <xf numFmtId="1" fontId="4" fillId="0" borderId="11" xfId="0" applyNumberFormat="1" applyFont="1" applyFill="1" applyBorder="1" applyAlignment="1">
      <alignment horizontal="center" vertical="top" wrapText="1"/>
    </xf>
    <xf numFmtId="1" fontId="4" fillId="0" borderId="9" xfId="0" applyNumberFormat="1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right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abSelected="1" workbookViewId="0">
      <pane xSplit="2" ySplit="8" topLeftCell="C9" activePane="bottomRight" state="frozen"/>
      <selection activeCell="N137" sqref="N137"/>
      <selection pane="topRight" activeCell="N137" sqref="N137"/>
      <selection pane="bottomLeft" activeCell="N137" sqref="N137"/>
      <selection pane="bottomRight" activeCell="B1" sqref="B1:G2"/>
    </sheetView>
  </sheetViews>
  <sheetFormatPr defaultColWidth="9.109375" defaultRowHeight="15" x14ac:dyDescent="0.25"/>
  <cols>
    <col min="1" max="1" width="10" style="43" customWidth="1"/>
    <col min="2" max="2" width="57" style="11" customWidth="1"/>
    <col min="3" max="3" width="9.5546875" style="55" customWidth="1"/>
    <col min="4" max="4" width="9.5546875" style="40" customWidth="1"/>
    <col min="5" max="5" width="10.33203125" style="11" customWidth="1"/>
    <col min="6" max="7" width="10.6640625" style="11" customWidth="1"/>
    <col min="8" max="8" width="11.88671875" style="11" customWidth="1"/>
    <col min="9" max="16384" width="9.109375" style="11"/>
  </cols>
  <sheetData>
    <row r="1" spans="1:8" ht="15" customHeight="1" x14ac:dyDescent="0.25">
      <c r="B1" s="131" t="s">
        <v>130</v>
      </c>
      <c r="C1" s="131"/>
      <c r="D1" s="131"/>
      <c r="E1" s="131"/>
      <c r="F1" s="131"/>
      <c r="G1" s="131"/>
      <c r="H1" s="42"/>
    </row>
    <row r="2" spans="1:8" x14ac:dyDescent="0.25">
      <c r="B2" s="132"/>
      <c r="C2" s="132"/>
      <c r="D2" s="132"/>
      <c r="E2" s="132"/>
      <c r="F2" s="132"/>
      <c r="G2" s="132"/>
    </row>
    <row r="3" spans="1:8" ht="15.75" customHeight="1" x14ac:dyDescent="0.25">
      <c r="A3" s="133" t="s">
        <v>13</v>
      </c>
      <c r="B3" s="136" t="s">
        <v>12</v>
      </c>
      <c r="C3" s="139" t="s">
        <v>5</v>
      </c>
      <c r="D3" s="142" t="s">
        <v>27</v>
      </c>
      <c r="E3" s="122" t="s">
        <v>6</v>
      </c>
      <c r="F3" s="122"/>
      <c r="G3" s="126"/>
      <c r="H3" s="123" t="s">
        <v>7</v>
      </c>
    </row>
    <row r="4" spans="1:8" ht="15.75" customHeight="1" x14ac:dyDescent="0.25">
      <c r="A4" s="134"/>
      <c r="B4" s="137"/>
      <c r="C4" s="140"/>
      <c r="D4" s="142"/>
      <c r="E4" s="117"/>
      <c r="F4" s="117"/>
      <c r="G4" s="127"/>
      <c r="H4" s="124"/>
    </row>
    <row r="5" spans="1:8" ht="15" customHeight="1" x14ac:dyDescent="0.25">
      <c r="A5" s="134"/>
      <c r="B5" s="137"/>
      <c r="C5" s="140"/>
      <c r="D5" s="142"/>
      <c r="E5" s="128" t="s">
        <v>1</v>
      </c>
      <c r="F5" s="136" t="s">
        <v>2</v>
      </c>
      <c r="G5" s="136" t="s">
        <v>3</v>
      </c>
      <c r="H5" s="124"/>
    </row>
    <row r="6" spans="1:8" ht="15" customHeight="1" x14ac:dyDescent="0.25">
      <c r="A6" s="134"/>
      <c r="B6" s="137"/>
      <c r="C6" s="140"/>
      <c r="D6" s="142"/>
      <c r="E6" s="129"/>
      <c r="F6" s="137"/>
      <c r="G6" s="137"/>
      <c r="H6" s="124"/>
    </row>
    <row r="7" spans="1:8" ht="33" customHeight="1" x14ac:dyDescent="0.25">
      <c r="A7" s="135"/>
      <c r="B7" s="138"/>
      <c r="C7" s="141"/>
      <c r="D7" s="142"/>
      <c r="E7" s="130"/>
      <c r="F7" s="138"/>
      <c r="G7" s="138"/>
      <c r="H7" s="125"/>
    </row>
    <row r="8" spans="1:8" ht="18.75" customHeight="1" x14ac:dyDescent="0.25">
      <c r="A8" s="115" t="s">
        <v>14</v>
      </c>
      <c r="B8" s="116"/>
      <c r="C8" s="34"/>
      <c r="D8" s="33"/>
      <c r="E8" s="33"/>
      <c r="F8" s="33"/>
      <c r="G8" s="33"/>
      <c r="H8" s="33"/>
    </row>
    <row r="9" spans="1:8" ht="18" customHeight="1" x14ac:dyDescent="0.25">
      <c r="A9" s="115" t="s">
        <v>9</v>
      </c>
      <c r="B9" s="116"/>
      <c r="C9" s="34"/>
      <c r="D9" s="39"/>
      <c r="E9" s="12"/>
      <c r="F9" s="12"/>
      <c r="G9" s="12"/>
      <c r="H9" s="12"/>
    </row>
    <row r="10" spans="1:8" ht="18" customHeight="1" x14ac:dyDescent="0.3">
      <c r="A10" s="45">
        <v>258</v>
      </c>
      <c r="B10" s="4" t="s">
        <v>116</v>
      </c>
      <c r="C10" s="51">
        <v>170</v>
      </c>
      <c r="D10" s="41">
        <v>40.42</v>
      </c>
      <c r="E10" s="17">
        <v>11.75</v>
      </c>
      <c r="F10" s="17">
        <v>15.3</v>
      </c>
      <c r="G10" s="17">
        <f>36.8+5.36</f>
        <v>42.16</v>
      </c>
      <c r="H10" s="17">
        <v>353.34</v>
      </c>
    </row>
    <row r="11" spans="1:8" ht="18" customHeight="1" x14ac:dyDescent="0.3">
      <c r="A11" s="45">
        <v>300</v>
      </c>
      <c r="B11" s="25" t="s">
        <v>26</v>
      </c>
      <c r="C11" s="51">
        <v>200</v>
      </c>
      <c r="D11" s="21">
        <v>3.52</v>
      </c>
      <c r="E11" s="4">
        <v>0.1</v>
      </c>
      <c r="F11" s="4">
        <v>0</v>
      </c>
      <c r="G11" s="4">
        <v>20.2</v>
      </c>
      <c r="H11" s="4">
        <v>81.2</v>
      </c>
    </row>
    <row r="12" spans="1:8" ht="18" customHeight="1" x14ac:dyDescent="0.3">
      <c r="A12" s="45" t="s">
        <v>34</v>
      </c>
      <c r="B12" s="14" t="s">
        <v>32</v>
      </c>
      <c r="C12" s="30">
        <v>130</v>
      </c>
      <c r="D12" s="41">
        <v>30.23</v>
      </c>
      <c r="E12" s="17">
        <v>1.8225000000000005</v>
      </c>
      <c r="F12" s="17">
        <v>0.40500000000000003</v>
      </c>
      <c r="G12" s="17">
        <v>4.6425000000000001</v>
      </c>
      <c r="H12" s="17">
        <v>29.51</v>
      </c>
    </row>
    <row r="13" spans="1:8" s="7" customFormat="1" ht="18" customHeight="1" x14ac:dyDescent="0.3">
      <c r="A13" s="47"/>
      <c r="B13" s="9" t="s">
        <v>21</v>
      </c>
      <c r="C13" s="50">
        <f t="shared" ref="C13:H13" si="0">SUM(C10:C12)</f>
        <v>500</v>
      </c>
      <c r="D13" s="75">
        <f t="shared" si="0"/>
        <v>74.17</v>
      </c>
      <c r="E13" s="75">
        <f t="shared" si="0"/>
        <v>13.672499999999999</v>
      </c>
      <c r="F13" s="75">
        <f t="shared" si="0"/>
        <v>15.705</v>
      </c>
      <c r="G13" s="75">
        <f t="shared" si="0"/>
        <v>67.002499999999998</v>
      </c>
      <c r="H13" s="75">
        <f t="shared" si="0"/>
        <v>464.04999999999995</v>
      </c>
    </row>
    <row r="14" spans="1:8" ht="18" customHeight="1" x14ac:dyDescent="0.25">
      <c r="A14" s="115" t="s">
        <v>10</v>
      </c>
      <c r="B14" s="116"/>
      <c r="C14" s="54"/>
      <c r="D14" s="36"/>
      <c r="E14" s="18"/>
      <c r="F14" s="18"/>
      <c r="G14" s="18"/>
      <c r="H14" s="18"/>
    </row>
    <row r="15" spans="1:8" ht="18" customHeight="1" x14ac:dyDescent="0.3">
      <c r="A15" s="90">
        <v>65</v>
      </c>
      <c r="B15" s="1" t="s">
        <v>31</v>
      </c>
      <c r="C15" s="62">
        <v>200</v>
      </c>
      <c r="D15" s="21">
        <v>9.75</v>
      </c>
      <c r="E15" s="26">
        <v>6.4</v>
      </c>
      <c r="F15" s="26">
        <v>8</v>
      </c>
      <c r="G15" s="26">
        <v>30.7</v>
      </c>
      <c r="H15" s="26">
        <v>220.4</v>
      </c>
    </row>
    <row r="16" spans="1:8" ht="18" customHeight="1" x14ac:dyDescent="0.3">
      <c r="A16" s="90">
        <v>97</v>
      </c>
      <c r="B16" s="1" t="s">
        <v>114</v>
      </c>
      <c r="C16" s="29">
        <v>90</v>
      </c>
      <c r="D16" s="21">
        <f>50.35-14+5-0.41+0.59-1.21+2</f>
        <v>42.320000000000007</v>
      </c>
      <c r="E16" s="16">
        <f>14.02-7</f>
        <v>7.02</v>
      </c>
      <c r="F16" s="16">
        <f>9.3-1.96</f>
        <v>7.3400000000000007</v>
      </c>
      <c r="G16" s="16">
        <v>7.1</v>
      </c>
      <c r="H16" s="16">
        <v>122.54</v>
      </c>
    </row>
    <row r="17" spans="1:8" ht="18" customHeight="1" x14ac:dyDescent="0.3">
      <c r="A17" s="92" t="s">
        <v>37</v>
      </c>
      <c r="B17" s="1" t="s">
        <v>93</v>
      </c>
      <c r="C17" s="57">
        <v>150</v>
      </c>
      <c r="D17" s="21">
        <v>8.49</v>
      </c>
      <c r="E17" s="19">
        <v>4.9250000000000007</v>
      </c>
      <c r="F17" s="19">
        <v>6.8000000000000007</v>
      </c>
      <c r="G17" s="19">
        <v>21.008333333333336</v>
      </c>
      <c r="H17" s="19">
        <v>164.93333333333331</v>
      </c>
    </row>
    <row r="18" spans="1:8" ht="18" customHeight="1" x14ac:dyDescent="0.3">
      <c r="A18" s="45">
        <v>300</v>
      </c>
      <c r="B18" s="76" t="s">
        <v>29</v>
      </c>
      <c r="C18" s="51">
        <v>200</v>
      </c>
      <c r="D18" s="21">
        <v>7.73</v>
      </c>
      <c r="E18" s="4">
        <v>0.1</v>
      </c>
      <c r="F18" s="4">
        <v>0</v>
      </c>
      <c r="G18" s="4">
        <v>20.2</v>
      </c>
      <c r="H18" s="4">
        <v>81.2</v>
      </c>
    </row>
    <row r="19" spans="1:8" s="8" customFormat="1" ht="18" customHeight="1" x14ac:dyDescent="0.3">
      <c r="A19" s="48" t="s">
        <v>36</v>
      </c>
      <c r="B19" s="4" t="s">
        <v>4</v>
      </c>
      <c r="C19" s="51">
        <v>30</v>
      </c>
      <c r="D19" s="21">
        <v>2.76</v>
      </c>
      <c r="E19" s="2">
        <f>6.6/100*30</f>
        <v>1.98</v>
      </c>
      <c r="F19" s="52">
        <f>1.2/100*30</f>
        <v>0.36</v>
      </c>
      <c r="G19" s="2">
        <f>33.4/100*30</f>
        <v>10.02</v>
      </c>
      <c r="H19" s="2">
        <v>51.24</v>
      </c>
    </row>
    <row r="20" spans="1:8" s="8" customFormat="1" ht="18" customHeight="1" x14ac:dyDescent="0.3">
      <c r="A20" s="92" t="s">
        <v>35</v>
      </c>
      <c r="B20" s="4" t="s">
        <v>0</v>
      </c>
      <c r="C20" s="51">
        <v>30</v>
      </c>
      <c r="D20" s="21">
        <v>3.12</v>
      </c>
      <c r="E20" s="4">
        <f>7.9/100*30</f>
        <v>2.37</v>
      </c>
      <c r="F20" s="4">
        <f>1/100*30</f>
        <v>0.3</v>
      </c>
      <c r="G20" s="4">
        <f>48.3/100*30</f>
        <v>14.49</v>
      </c>
      <c r="H20" s="4">
        <v>70.14</v>
      </c>
    </row>
    <row r="21" spans="1:8" s="8" customFormat="1" ht="18" customHeight="1" x14ac:dyDescent="0.3">
      <c r="A21" s="47"/>
      <c r="B21" s="9" t="s">
        <v>21</v>
      </c>
      <c r="C21" s="50">
        <f t="shared" ref="C21:H21" si="1">SUM(C15:C20)</f>
        <v>700</v>
      </c>
      <c r="D21" s="35">
        <f t="shared" si="1"/>
        <v>74.170000000000016</v>
      </c>
      <c r="E21" s="35">
        <f t="shared" si="1"/>
        <v>22.795000000000002</v>
      </c>
      <c r="F21" s="35">
        <f t="shared" si="1"/>
        <v>22.8</v>
      </c>
      <c r="G21" s="35">
        <f t="shared" si="1"/>
        <v>103.51833333333333</v>
      </c>
      <c r="H21" s="35">
        <f t="shared" si="1"/>
        <v>710.45333333333338</v>
      </c>
    </row>
    <row r="22" spans="1:8" ht="18" customHeight="1" x14ac:dyDescent="0.3">
      <c r="A22" s="47"/>
      <c r="B22" s="3" t="s">
        <v>8</v>
      </c>
      <c r="C22" s="50"/>
      <c r="D22" s="64"/>
      <c r="E22" s="35">
        <f>E13+E21</f>
        <v>36.467500000000001</v>
      </c>
      <c r="F22" s="35">
        <f>F13+F21</f>
        <v>38.505000000000003</v>
      </c>
      <c r="G22" s="35">
        <f>G13+G21</f>
        <v>170.52083333333331</v>
      </c>
      <c r="H22" s="35">
        <f>H13+H21</f>
        <v>1174.5033333333333</v>
      </c>
    </row>
    <row r="23" spans="1:8" ht="18" customHeight="1" x14ac:dyDescent="0.3">
      <c r="A23" s="69"/>
      <c r="B23" s="23"/>
      <c r="C23" s="70"/>
      <c r="D23" s="71"/>
      <c r="E23" s="72"/>
      <c r="F23" s="72"/>
      <c r="G23" s="72"/>
      <c r="H23" s="72"/>
    </row>
    <row r="24" spans="1:8" ht="18" customHeight="1" x14ac:dyDescent="0.25">
      <c r="A24" s="121" t="s">
        <v>15</v>
      </c>
      <c r="B24" s="122"/>
      <c r="C24" s="53"/>
      <c r="D24" s="23"/>
      <c r="E24" s="23"/>
      <c r="F24" s="23"/>
      <c r="G24" s="23"/>
      <c r="H24" s="23"/>
    </row>
    <row r="25" spans="1:8" ht="18" customHeight="1" x14ac:dyDescent="0.25">
      <c r="A25" s="120" t="s">
        <v>9</v>
      </c>
      <c r="B25" s="117"/>
      <c r="C25" s="44"/>
      <c r="D25" s="37"/>
      <c r="E25" s="24"/>
      <c r="F25" s="65"/>
      <c r="G25" s="24"/>
      <c r="H25" s="24"/>
    </row>
    <row r="26" spans="1:8" ht="18" customHeight="1" x14ac:dyDescent="0.3">
      <c r="A26" s="45">
        <v>234</v>
      </c>
      <c r="B26" s="2" t="s">
        <v>22</v>
      </c>
      <c r="C26" s="60">
        <v>115</v>
      </c>
      <c r="D26" s="38">
        <f>32.51+9.25-4.47</f>
        <v>37.29</v>
      </c>
      <c r="E26" s="31">
        <f>6.9+3.28</f>
        <v>10.18</v>
      </c>
      <c r="F26" s="31">
        <f>10.1-1.28</f>
        <v>8.82</v>
      </c>
      <c r="G26" s="31">
        <v>8.6999999999999993</v>
      </c>
      <c r="H26" s="31">
        <v>154.9</v>
      </c>
    </row>
    <row r="27" spans="1:8" ht="18" customHeight="1" x14ac:dyDescent="0.3">
      <c r="A27" s="92" t="s">
        <v>35</v>
      </c>
      <c r="B27" s="4" t="s">
        <v>0</v>
      </c>
      <c r="C27" s="51">
        <v>40</v>
      </c>
      <c r="D27" s="21">
        <v>3.12</v>
      </c>
      <c r="E27" s="4">
        <f>7.9/100*30</f>
        <v>2.37</v>
      </c>
      <c r="F27" s="4">
        <f>1/100*30</f>
        <v>0.3</v>
      </c>
      <c r="G27" s="4">
        <f>48.3/100*30</f>
        <v>14.49</v>
      </c>
      <c r="H27" s="4">
        <v>70.14</v>
      </c>
    </row>
    <row r="28" spans="1:8" s="8" customFormat="1" ht="18" customHeight="1" x14ac:dyDescent="0.3">
      <c r="A28" s="45">
        <v>300</v>
      </c>
      <c r="B28" s="25" t="s">
        <v>26</v>
      </c>
      <c r="C28" s="51">
        <v>200</v>
      </c>
      <c r="D28" s="21">
        <v>3.52</v>
      </c>
      <c r="E28" s="4">
        <v>0.1</v>
      </c>
      <c r="F28" s="4">
        <v>0</v>
      </c>
      <c r="G28" s="4">
        <v>20.2</v>
      </c>
      <c r="H28" s="4">
        <v>81.2</v>
      </c>
    </row>
    <row r="29" spans="1:8" s="8" customFormat="1" ht="18" customHeight="1" x14ac:dyDescent="0.3">
      <c r="A29" s="45" t="s">
        <v>34</v>
      </c>
      <c r="B29" s="14" t="s">
        <v>32</v>
      </c>
      <c r="C29" s="30">
        <v>85</v>
      </c>
      <c r="D29" s="41">
        <v>16.61</v>
      </c>
      <c r="E29" s="17">
        <v>0.84115384615384636</v>
      </c>
      <c r="F29" s="17">
        <v>0.18692307692307694</v>
      </c>
      <c r="G29" s="17">
        <v>2.1426923076923075</v>
      </c>
      <c r="H29" s="17">
        <v>13.62</v>
      </c>
    </row>
    <row r="30" spans="1:8" ht="18" customHeight="1" x14ac:dyDescent="0.3">
      <c r="A30" s="45" t="s">
        <v>34</v>
      </c>
      <c r="B30" s="27" t="s">
        <v>126</v>
      </c>
      <c r="C30" s="30">
        <v>60</v>
      </c>
      <c r="D30" s="41">
        <v>13.63</v>
      </c>
      <c r="E30" s="17">
        <v>1.62</v>
      </c>
      <c r="F30" s="17">
        <v>1.58</v>
      </c>
      <c r="G30" s="17">
        <v>19.170000000000002</v>
      </c>
      <c r="H30" s="17">
        <v>97.43</v>
      </c>
    </row>
    <row r="31" spans="1:8" ht="18" customHeight="1" x14ac:dyDescent="0.3">
      <c r="A31" s="46"/>
      <c r="B31" s="9" t="s">
        <v>21</v>
      </c>
      <c r="C31" s="50">
        <f t="shared" ref="C31:H31" si="2">SUM(C26:C30)</f>
        <v>500</v>
      </c>
      <c r="D31" s="35">
        <f t="shared" si="2"/>
        <v>74.17</v>
      </c>
      <c r="E31" s="35">
        <f t="shared" si="2"/>
        <v>15.111153846153847</v>
      </c>
      <c r="F31" s="35">
        <f t="shared" si="2"/>
        <v>10.886923076923077</v>
      </c>
      <c r="G31" s="35">
        <f t="shared" si="2"/>
        <v>64.702692307692303</v>
      </c>
      <c r="H31" s="35">
        <f t="shared" si="2"/>
        <v>417.29</v>
      </c>
    </row>
    <row r="32" spans="1:8" ht="18" customHeight="1" x14ac:dyDescent="0.25">
      <c r="A32" s="115" t="s">
        <v>10</v>
      </c>
      <c r="B32" s="116"/>
      <c r="C32" s="54"/>
      <c r="D32" s="36"/>
      <c r="E32" s="18"/>
      <c r="F32" s="18"/>
      <c r="G32" s="18"/>
      <c r="H32" s="18"/>
    </row>
    <row r="33" spans="1:8" ht="18" customHeight="1" x14ac:dyDescent="0.3">
      <c r="A33" s="45">
        <v>62</v>
      </c>
      <c r="B33" s="1" t="s">
        <v>28</v>
      </c>
      <c r="C33" s="29">
        <v>200</v>
      </c>
      <c r="D33" s="21">
        <v>12.75</v>
      </c>
      <c r="E33" s="16">
        <v>5.8</v>
      </c>
      <c r="F33" s="16">
        <v>4.3</v>
      </c>
      <c r="G33" s="16">
        <v>27.8</v>
      </c>
      <c r="H33" s="4">
        <v>173.1</v>
      </c>
    </row>
    <row r="34" spans="1:8" ht="18" customHeight="1" x14ac:dyDescent="0.3">
      <c r="A34" s="45">
        <v>158</v>
      </c>
      <c r="B34" s="25" t="s">
        <v>47</v>
      </c>
      <c r="C34" s="57">
        <v>200</v>
      </c>
      <c r="D34" s="41">
        <f>19.54+3.5+10.48+0.96+6.63</f>
        <v>41.11</v>
      </c>
      <c r="E34" s="14">
        <v>12.65</v>
      </c>
      <c r="F34" s="19">
        <f>13.2/180*220</f>
        <v>16.133333333333333</v>
      </c>
      <c r="G34" s="19">
        <v>15.06</v>
      </c>
      <c r="H34" s="15">
        <v>256.04000000000002</v>
      </c>
    </row>
    <row r="35" spans="1:8" ht="18" customHeight="1" x14ac:dyDescent="0.3">
      <c r="A35" s="45" t="s">
        <v>111</v>
      </c>
      <c r="B35" s="25" t="s">
        <v>110</v>
      </c>
      <c r="C35" s="51">
        <v>30</v>
      </c>
      <c r="D35" s="41">
        <v>6.3</v>
      </c>
      <c r="E35" s="22">
        <v>2.6999999999999997</v>
      </c>
      <c r="F35" s="22">
        <v>0.44999999999999996</v>
      </c>
      <c r="G35" s="22">
        <v>8.5500000000000007</v>
      </c>
      <c r="H35" s="22">
        <v>58.5</v>
      </c>
    </row>
    <row r="36" spans="1:8" ht="18" customHeight="1" x14ac:dyDescent="0.3">
      <c r="A36" s="45">
        <v>300</v>
      </c>
      <c r="B36" s="25" t="s">
        <v>25</v>
      </c>
      <c r="C36" s="51">
        <v>200</v>
      </c>
      <c r="D36" s="21">
        <v>7.09</v>
      </c>
      <c r="E36" s="22">
        <v>0.2</v>
      </c>
      <c r="F36" s="22">
        <v>0.1</v>
      </c>
      <c r="G36" s="22">
        <v>17.2</v>
      </c>
      <c r="H36" s="13">
        <v>70</v>
      </c>
    </row>
    <row r="37" spans="1:8" s="8" customFormat="1" ht="18" customHeight="1" x14ac:dyDescent="0.3">
      <c r="A37" s="48" t="s">
        <v>36</v>
      </c>
      <c r="B37" s="4" t="s">
        <v>4</v>
      </c>
      <c r="C37" s="51">
        <v>30</v>
      </c>
      <c r="D37" s="21">
        <v>2.76</v>
      </c>
      <c r="E37" s="2">
        <f>6.6/100*30</f>
        <v>1.98</v>
      </c>
      <c r="F37" s="52">
        <f>1.2/100*30</f>
        <v>0.36</v>
      </c>
      <c r="G37" s="2">
        <f>33.4/100*30</f>
        <v>10.02</v>
      </c>
      <c r="H37" s="2">
        <v>51.24</v>
      </c>
    </row>
    <row r="38" spans="1:8" s="8" customFormat="1" ht="18" customHeight="1" x14ac:dyDescent="0.3">
      <c r="A38" s="48" t="s">
        <v>35</v>
      </c>
      <c r="B38" s="4" t="s">
        <v>0</v>
      </c>
      <c r="C38" s="51">
        <v>40</v>
      </c>
      <c r="D38" s="21">
        <f>3.12/30*40</f>
        <v>4.16</v>
      </c>
      <c r="E38" s="4">
        <f>7.9/100*30</f>
        <v>2.37</v>
      </c>
      <c r="F38" s="4">
        <f>1/100*30</f>
        <v>0.3</v>
      </c>
      <c r="G38" s="4">
        <f>48.3/100*30</f>
        <v>14.49</v>
      </c>
      <c r="H38" s="4">
        <v>70.14</v>
      </c>
    </row>
    <row r="39" spans="1:8" s="8" customFormat="1" ht="18" customHeight="1" x14ac:dyDescent="0.3">
      <c r="A39" s="47"/>
      <c r="B39" s="9" t="s">
        <v>21</v>
      </c>
      <c r="C39" s="50">
        <f t="shared" ref="C39:H39" si="3">SUM(C33:C38)</f>
        <v>700</v>
      </c>
      <c r="D39" s="75">
        <f t="shared" si="3"/>
        <v>74.17</v>
      </c>
      <c r="E39" s="75">
        <f t="shared" si="3"/>
        <v>25.7</v>
      </c>
      <c r="F39" s="75">
        <f t="shared" si="3"/>
        <v>21.643333333333334</v>
      </c>
      <c r="G39" s="75">
        <f t="shared" si="3"/>
        <v>93.11999999999999</v>
      </c>
      <c r="H39" s="75">
        <f t="shared" si="3"/>
        <v>679.02</v>
      </c>
    </row>
    <row r="40" spans="1:8" ht="18" customHeight="1" x14ac:dyDescent="0.3">
      <c r="A40" s="47"/>
      <c r="B40" s="3" t="s">
        <v>8</v>
      </c>
      <c r="C40" s="50"/>
      <c r="D40" s="35"/>
      <c r="E40" s="35">
        <f>E31+E39</f>
        <v>40.811153846153843</v>
      </c>
      <c r="F40" s="35">
        <f>F31+F39</f>
        <v>32.530256410256413</v>
      </c>
      <c r="G40" s="35">
        <f>G31+G39</f>
        <v>157.82269230769231</v>
      </c>
      <c r="H40" s="35">
        <f>H31+H39</f>
        <v>1096.31</v>
      </c>
    </row>
    <row r="41" spans="1:8" ht="30" customHeight="1" x14ac:dyDescent="0.25">
      <c r="A41" s="122" t="s">
        <v>16</v>
      </c>
      <c r="B41" s="122"/>
      <c r="C41" s="53"/>
      <c r="D41" s="23"/>
      <c r="E41" s="23"/>
      <c r="F41" s="23"/>
      <c r="G41" s="23"/>
      <c r="H41" s="23"/>
    </row>
    <row r="42" spans="1:8" ht="15.6" x14ac:dyDescent="0.25">
      <c r="A42" s="117" t="s">
        <v>11</v>
      </c>
      <c r="B42" s="117"/>
      <c r="C42" s="44"/>
      <c r="D42" s="36"/>
      <c r="E42" s="18"/>
      <c r="F42" s="18"/>
      <c r="G42" s="18"/>
      <c r="H42" s="18"/>
    </row>
    <row r="43" spans="1:8" ht="18" customHeight="1" x14ac:dyDescent="0.3">
      <c r="A43" s="45">
        <v>208</v>
      </c>
      <c r="B43" s="4" t="s">
        <v>117</v>
      </c>
      <c r="C43" s="51">
        <v>200</v>
      </c>
      <c r="D43" s="41">
        <v>29.11</v>
      </c>
      <c r="E43" s="17">
        <f>8.27160493827161+3.04</f>
        <v>11.311604938271611</v>
      </c>
      <c r="F43" s="17">
        <f>12.7449382716049+1.18</f>
        <v>13.924938271604899</v>
      </c>
      <c r="G43" s="17">
        <f>40.2469135802469-27.11</f>
        <v>13.136913580246897</v>
      </c>
      <c r="H43" s="73">
        <v>223.12</v>
      </c>
    </row>
    <row r="44" spans="1:8" ht="18" customHeight="1" x14ac:dyDescent="0.3">
      <c r="A44" s="48" t="s">
        <v>35</v>
      </c>
      <c r="B44" s="4" t="s">
        <v>118</v>
      </c>
      <c r="C44" s="51">
        <v>50</v>
      </c>
      <c r="D44" s="21">
        <v>27.7</v>
      </c>
      <c r="E44" s="4">
        <f>7.9/100*30</f>
        <v>2.37</v>
      </c>
      <c r="F44" s="4">
        <f>1/100*30</f>
        <v>0.3</v>
      </c>
      <c r="G44" s="4">
        <f>48.3/100*30</f>
        <v>14.49</v>
      </c>
      <c r="H44" s="4">
        <v>70.14</v>
      </c>
    </row>
    <row r="45" spans="1:8" ht="18" customHeight="1" x14ac:dyDescent="0.3">
      <c r="A45" s="45" t="s">
        <v>34</v>
      </c>
      <c r="B45" s="14" t="s">
        <v>32</v>
      </c>
      <c r="C45" s="30">
        <v>50</v>
      </c>
      <c r="D45" s="41">
        <v>13.841666666666667</v>
      </c>
      <c r="E45" s="17">
        <v>0.70096153846153864</v>
      </c>
      <c r="F45" s="17">
        <v>0.1557692307692308</v>
      </c>
      <c r="G45" s="17">
        <v>1.7855769230769227</v>
      </c>
      <c r="H45" s="17">
        <v>11.35</v>
      </c>
    </row>
    <row r="46" spans="1:8" ht="18" customHeight="1" x14ac:dyDescent="0.3">
      <c r="A46" s="45">
        <v>300</v>
      </c>
      <c r="B46" s="25" t="s">
        <v>26</v>
      </c>
      <c r="C46" s="51">
        <v>200</v>
      </c>
      <c r="D46" s="21">
        <v>3.52</v>
      </c>
      <c r="E46" s="4">
        <v>0.1</v>
      </c>
      <c r="F46" s="4">
        <v>0</v>
      </c>
      <c r="G46" s="4">
        <v>20.2</v>
      </c>
      <c r="H46" s="4">
        <v>81.2</v>
      </c>
    </row>
    <row r="47" spans="1:8" ht="18" customHeight="1" x14ac:dyDescent="0.3">
      <c r="A47" s="47"/>
      <c r="B47" s="9" t="s">
        <v>21</v>
      </c>
      <c r="C47" s="50">
        <f t="shared" ref="C47:H47" si="4">SUM(C43:C46)</f>
        <v>500</v>
      </c>
      <c r="D47" s="35">
        <f t="shared" si="4"/>
        <v>74.171666666666667</v>
      </c>
      <c r="E47" s="5">
        <f t="shared" si="4"/>
        <v>14.482566476733149</v>
      </c>
      <c r="F47" s="5">
        <f t="shared" si="4"/>
        <v>14.380707502374131</v>
      </c>
      <c r="G47" s="5">
        <f t="shared" si="4"/>
        <v>49.612490503323826</v>
      </c>
      <c r="H47" s="5">
        <f t="shared" si="4"/>
        <v>385.81</v>
      </c>
    </row>
    <row r="48" spans="1:8" ht="18" customHeight="1" x14ac:dyDescent="0.25">
      <c r="A48" s="115" t="s">
        <v>10</v>
      </c>
      <c r="B48" s="116"/>
      <c r="C48" s="54"/>
      <c r="D48" s="36"/>
      <c r="E48" s="18"/>
      <c r="F48" s="18"/>
      <c r="G48" s="18"/>
      <c r="H48" s="18"/>
    </row>
    <row r="49" spans="1:8" ht="18" customHeight="1" x14ac:dyDescent="0.3">
      <c r="A49" s="45">
        <v>55</v>
      </c>
      <c r="B49" s="20" t="s">
        <v>129</v>
      </c>
      <c r="C49" s="29">
        <v>200</v>
      </c>
      <c r="D49" s="41">
        <v>12.75</v>
      </c>
      <c r="E49" s="19">
        <f>8.25</f>
        <v>8.25</v>
      </c>
      <c r="F49" s="19">
        <v>9.6999999999999993</v>
      </c>
      <c r="G49" s="19">
        <v>31.8</v>
      </c>
      <c r="H49" s="19">
        <v>247.5</v>
      </c>
    </row>
    <row r="50" spans="1:8" ht="18" customHeight="1" x14ac:dyDescent="0.3">
      <c r="A50" s="45">
        <v>158</v>
      </c>
      <c r="B50" s="25" t="s">
        <v>119</v>
      </c>
      <c r="C50" s="57">
        <v>90</v>
      </c>
      <c r="D50" s="41">
        <v>35.520000000000003</v>
      </c>
      <c r="E50" s="14">
        <f>12.65-4.6</f>
        <v>8.0500000000000007</v>
      </c>
      <c r="F50" s="19">
        <f>13.2/180*220-5</f>
        <v>11.133333333333333</v>
      </c>
      <c r="G50" s="19">
        <v>15.06</v>
      </c>
      <c r="H50" s="15">
        <v>192.64</v>
      </c>
    </row>
    <row r="51" spans="1:8" ht="18" customHeight="1" x14ac:dyDescent="0.3">
      <c r="A51" s="45" t="s">
        <v>34</v>
      </c>
      <c r="B51" s="25" t="s">
        <v>24</v>
      </c>
      <c r="C51" s="51">
        <v>150</v>
      </c>
      <c r="D51" s="99">
        <f>16.5-4.21</f>
        <v>12.29</v>
      </c>
      <c r="E51" s="111">
        <v>4.7502222222222201</v>
      </c>
      <c r="F51" s="111">
        <v>2.46</v>
      </c>
      <c r="G51" s="111">
        <v>21.473333333333333</v>
      </c>
      <c r="H51" s="111">
        <v>127.03333333333333</v>
      </c>
    </row>
    <row r="52" spans="1:8" s="8" customFormat="1" ht="18" customHeight="1" x14ac:dyDescent="0.3">
      <c r="A52" s="45">
        <v>300</v>
      </c>
      <c r="B52" s="109" t="s">
        <v>29</v>
      </c>
      <c r="C52" s="51">
        <v>200</v>
      </c>
      <c r="D52" s="21">
        <v>7.73</v>
      </c>
      <c r="E52" s="4">
        <v>0.1</v>
      </c>
      <c r="F52" s="4">
        <v>0</v>
      </c>
      <c r="G52" s="4">
        <v>20.2</v>
      </c>
      <c r="H52" s="4">
        <v>81.2</v>
      </c>
    </row>
    <row r="53" spans="1:8" s="8" customFormat="1" ht="18" customHeight="1" x14ac:dyDescent="0.3">
      <c r="A53" s="48" t="s">
        <v>36</v>
      </c>
      <c r="B53" s="4" t="s">
        <v>4</v>
      </c>
      <c r="C53" s="51">
        <v>30</v>
      </c>
      <c r="D53" s="21">
        <v>2.76</v>
      </c>
      <c r="E53" s="2">
        <f>6.6/100*30</f>
        <v>1.98</v>
      </c>
      <c r="F53" s="52">
        <f>1.2/100*30</f>
        <v>0.36</v>
      </c>
      <c r="G53" s="2">
        <f>33.4/100*30</f>
        <v>10.02</v>
      </c>
      <c r="H53" s="2">
        <v>51.24</v>
      </c>
    </row>
    <row r="54" spans="1:8" s="8" customFormat="1" ht="18" customHeight="1" x14ac:dyDescent="0.3">
      <c r="A54" s="48" t="s">
        <v>35</v>
      </c>
      <c r="B54" s="4" t="s">
        <v>0</v>
      </c>
      <c r="C54" s="51">
        <v>30</v>
      </c>
      <c r="D54" s="21">
        <v>3.12</v>
      </c>
      <c r="E54" s="4">
        <f>7.9/100*30</f>
        <v>2.37</v>
      </c>
      <c r="F54" s="4">
        <f>1/100*30</f>
        <v>0.3</v>
      </c>
      <c r="G54" s="4">
        <f>48.3/100*30</f>
        <v>14.49</v>
      </c>
      <c r="H54" s="4">
        <v>70.14</v>
      </c>
    </row>
    <row r="55" spans="1:8" ht="18" customHeight="1" x14ac:dyDescent="0.3">
      <c r="A55" s="47"/>
      <c r="B55" s="9" t="s">
        <v>21</v>
      </c>
      <c r="C55" s="50">
        <f>SUM(C49:C54)</f>
        <v>700</v>
      </c>
      <c r="D55" s="35">
        <f>SUM(D49:D54)</f>
        <v>74.170000000000016</v>
      </c>
      <c r="E55" s="5">
        <f>SUM(E49:E53)</f>
        <v>23.130222222222223</v>
      </c>
      <c r="F55" s="5">
        <f>SUM(F49:F53)</f>
        <v>23.653333333333332</v>
      </c>
      <c r="G55" s="5">
        <f>SUM(G49:G53)</f>
        <v>98.553333333333327</v>
      </c>
      <c r="H55" s="5">
        <f>SUM(H49:H53)</f>
        <v>699.61333333333334</v>
      </c>
    </row>
    <row r="56" spans="1:8" ht="18" customHeight="1" x14ac:dyDescent="0.3">
      <c r="A56" s="47"/>
      <c r="B56" s="3" t="s">
        <v>8</v>
      </c>
      <c r="C56" s="50"/>
      <c r="D56" s="68"/>
      <c r="E56" s="68">
        <f>E47+E55</f>
        <v>37.61278869895537</v>
      </c>
      <c r="F56" s="68">
        <f>F47+F55</f>
        <v>38.034040835707465</v>
      </c>
      <c r="G56" s="68">
        <f>G47+G55</f>
        <v>148.16582383665715</v>
      </c>
      <c r="H56" s="68">
        <f>H47+H55</f>
        <v>1085.4233333333334</v>
      </c>
    </row>
    <row r="57" spans="1:8" ht="18" customHeight="1" x14ac:dyDescent="0.25">
      <c r="A57" s="121" t="s">
        <v>17</v>
      </c>
      <c r="B57" s="122"/>
      <c r="C57" s="53"/>
      <c r="D57" s="23"/>
      <c r="E57" s="18"/>
      <c r="F57" s="18"/>
      <c r="G57" s="18"/>
      <c r="H57" s="23"/>
    </row>
    <row r="58" spans="1:8" ht="18" customHeight="1" x14ac:dyDescent="0.25">
      <c r="A58" s="117" t="s">
        <v>11</v>
      </c>
      <c r="B58" s="117"/>
      <c r="C58" s="44"/>
      <c r="D58" s="36"/>
      <c r="E58" s="10"/>
      <c r="F58" s="18"/>
      <c r="G58" s="10"/>
      <c r="H58" s="18"/>
    </row>
    <row r="59" spans="1:8" ht="18" customHeight="1" x14ac:dyDescent="0.3">
      <c r="A59" s="45">
        <v>96</v>
      </c>
      <c r="B59" s="1" t="s">
        <v>115</v>
      </c>
      <c r="C59" s="100">
        <v>90</v>
      </c>
      <c r="D59" s="21">
        <v>52.35</v>
      </c>
      <c r="E59" s="16">
        <f>14.02-7</f>
        <v>7.02</v>
      </c>
      <c r="F59" s="16">
        <f>9.3-1.96</f>
        <v>7.3400000000000007</v>
      </c>
      <c r="G59" s="16">
        <v>7.1</v>
      </c>
      <c r="H59" s="16">
        <v>122.54</v>
      </c>
    </row>
    <row r="60" spans="1:8" ht="18" customHeight="1" x14ac:dyDescent="0.3">
      <c r="A60" s="48" t="s">
        <v>37</v>
      </c>
      <c r="B60" s="1" t="s">
        <v>93</v>
      </c>
      <c r="C60" s="101">
        <v>180</v>
      </c>
      <c r="D60" s="41">
        <v>15.18</v>
      </c>
      <c r="E60" s="19">
        <f>12.72-6.81</f>
        <v>5.910000000000001</v>
      </c>
      <c r="F60" s="19">
        <v>8.16</v>
      </c>
      <c r="G60" s="19">
        <f>30.36-5.15</f>
        <v>25.21</v>
      </c>
      <c r="H60" s="19">
        <v>197.92</v>
      </c>
    </row>
    <row r="61" spans="1:8" s="8" customFormat="1" ht="18" customHeight="1" x14ac:dyDescent="0.3">
      <c r="A61" s="45">
        <v>300</v>
      </c>
      <c r="B61" s="25" t="s">
        <v>26</v>
      </c>
      <c r="C61" s="102">
        <v>200</v>
      </c>
      <c r="D61" s="21">
        <v>3.52</v>
      </c>
      <c r="E61" s="4">
        <v>0.1</v>
      </c>
      <c r="F61" s="4">
        <v>0</v>
      </c>
      <c r="G61" s="4">
        <v>20.2</v>
      </c>
      <c r="H61" s="4">
        <v>81.2</v>
      </c>
    </row>
    <row r="62" spans="1:8" ht="18" customHeight="1" x14ac:dyDescent="0.3">
      <c r="A62" s="48" t="s">
        <v>35</v>
      </c>
      <c r="B62" s="4" t="s">
        <v>0</v>
      </c>
      <c r="C62" s="51">
        <v>30</v>
      </c>
      <c r="D62" s="21">
        <v>3.12</v>
      </c>
      <c r="E62" s="4">
        <f>7.9/100*30</f>
        <v>2.37</v>
      </c>
      <c r="F62" s="4">
        <f>1/100*30</f>
        <v>0.3</v>
      </c>
      <c r="G62" s="4">
        <f>48.3/100*30</f>
        <v>14.49</v>
      </c>
      <c r="H62" s="4">
        <v>70.14</v>
      </c>
    </row>
    <row r="63" spans="1:8" ht="18" customHeight="1" x14ac:dyDescent="0.3">
      <c r="A63" s="47"/>
      <c r="B63" s="9" t="s">
        <v>21</v>
      </c>
      <c r="C63" s="50">
        <f t="shared" ref="C63:H63" si="5">SUM(C59:C62)</f>
        <v>500</v>
      </c>
      <c r="D63" s="86">
        <f t="shared" si="5"/>
        <v>74.17</v>
      </c>
      <c r="E63" s="35">
        <f t="shared" si="5"/>
        <v>15.399999999999999</v>
      </c>
      <c r="F63" s="35">
        <f t="shared" si="5"/>
        <v>15.8</v>
      </c>
      <c r="G63" s="35">
        <f t="shared" si="5"/>
        <v>67</v>
      </c>
      <c r="H63" s="35">
        <f t="shared" si="5"/>
        <v>471.79999999999995</v>
      </c>
    </row>
    <row r="64" spans="1:8" ht="18" customHeight="1" x14ac:dyDescent="0.25">
      <c r="A64" s="115" t="s">
        <v>10</v>
      </c>
      <c r="B64" s="116"/>
      <c r="C64" s="54"/>
      <c r="D64" s="36"/>
      <c r="E64" s="18"/>
      <c r="F64" s="18"/>
      <c r="G64" s="18"/>
      <c r="H64" s="18"/>
    </row>
    <row r="65" spans="1:8" ht="15.6" x14ac:dyDescent="0.3">
      <c r="A65" s="93" t="s">
        <v>34</v>
      </c>
      <c r="B65" s="14" t="s">
        <v>110</v>
      </c>
      <c r="C65" s="30">
        <v>20</v>
      </c>
      <c r="D65" s="99">
        <v>7</v>
      </c>
      <c r="E65" s="63">
        <v>1.7999999999999998</v>
      </c>
      <c r="F65" s="63">
        <v>0.3</v>
      </c>
      <c r="G65" s="63">
        <v>5.7</v>
      </c>
      <c r="H65" s="63">
        <v>39</v>
      </c>
    </row>
    <row r="66" spans="1:8" s="8" customFormat="1" ht="18" customHeight="1" x14ac:dyDescent="0.3">
      <c r="A66" s="45">
        <v>55</v>
      </c>
      <c r="B66" s="14" t="s">
        <v>102</v>
      </c>
      <c r="C66" s="57">
        <v>220</v>
      </c>
      <c r="D66" s="41">
        <v>16.25</v>
      </c>
      <c r="E66" s="14">
        <v>2</v>
      </c>
      <c r="F66" s="14">
        <v>9.4</v>
      </c>
      <c r="G66" s="14">
        <v>17.8</v>
      </c>
      <c r="H66" s="14">
        <v>163.80000000000001</v>
      </c>
    </row>
    <row r="67" spans="1:8" s="8" customFormat="1" ht="18" customHeight="1" x14ac:dyDescent="0.3">
      <c r="A67" s="93">
        <v>107</v>
      </c>
      <c r="B67" s="25" t="s">
        <v>109</v>
      </c>
      <c r="C67" s="57">
        <v>90</v>
      </c>
      <c r="D67" s="21">
        <f>28.39-0.35+8+1.58-6.35+3.88</f>
        <v>35.15</v>
      </c>
      <c r="E67" s="22">
        <v>8.82</v>
      </c>
      <c r="F67" s="22">
        <f>7.2+2.84</f>
        <v>10.039999999999999</v>
      </c>
      <c r="G67" s="22">
        <v>18.78</v>
      </c>
      <c r="H67" s="22">
        <v>200.76</v>
      </c>
    </row>
    <row r="68" spans="1:8" ht="18" customHeight="1" x14ac:dyDescent="0.3">
      <c r="A68" s="93">
        <v>227</v>
      </c>
      <c r="B68" s="1" t="s">
        <v>20</v>
      </c>
      <c r="C68" s="57">
        <v>150</v>
      </c>
      <c r="D68" s="41">
        <v>9.49</v>
      </c>
      <c r="E68" s="31">
        <v>7.1253333333333337</v>
      </c>
      <c r="F68" s="31">
        <v>7.69</v>
      </c>
      <c r="G68" s="31">
        <v>21.407999999999998</v>
      </c>
      <c r="H68" s="31">
        <v>183.34</v>
      </c>
    </row>
    <row r="69" spans="1:8" ht="18" customHeight="1" x14ac:dyDescent="0.3">
      <c r="A69" s="45">
        <v>300</v>
      </c>
      <c r="B69" s="25" t="s">
        <v>26</v>
      </c>
      <c r="C69" s="51">
        <v>200</v>
      </c>
      <c r="D69" s="21">
        <v>3.52</v>
      </c>
      <c r="E69" s="4">
        <v>0.1</v>
      </c>
      <c r="F69" s="4">
        <v>0</v>
      </c>
      <c r="G69" s="4">
        <v>20.2</v>
      </c>
      <c r="H69" s="4">
        <v>81.2</v>
      </c>
    </row>
    <row r="70" spans="1:8" ht="18" customHeight="1" x14ac:dyDescent="0.3">
      <c r="A70" s="104" t="s">
        <v>36</v>
      </c>
      <c r="B70" s="4" t="s">
        <v>4</v>
      </c>
      <c r="C70" s="51">
        <v>30</v>
      </c>
      <c r="D70" s="21">
        <v>2.76</v>
      </c>
      <c r="E70" s="2">
        <f>6.6/100*30</f>
        <v>1.98</v>
      </c>
      <c r="F70" s="52">
        <f>1.2/100*30</f>
        <v>0.36</v>
      </c>
      <c r="G70" s="2">
        <f>33.4/100*30</f>
        <v>10.02</v>
      </c>
      <c r="H70" s="2">
        <v>51.24</v>
      </c>
    </row>
    <row r="71" spans="1:8" ht="18" customHeight="1" x14ac:dyDescent="0.3">
      <c r="A71" s="47"/>
      <c r="B71" s="9" t="s">
        <v>21</v>
      </c>
      <c r="C71" s="50">
        <f t="shared" ref="C71:H71" si="6">SUM(C65:C70)</f>
        <v>710</v>
      </c>
      <c r="D71" s="35">
        <f t="shared" si="6"/>
        <v>74.17</v>
      </c>
      <c r="E71" s="5">
        <f t="shared" si="6"/>
        <v>21.825333333333337</v>
      </c>
      <c r="F71" s="5">
        <f t="shared" si="6"/>
        <v>27.790000000000003</v>
      </c>
      <c r="G71" s="5">
        <f t="shared" si="6"/>
        <v>93.908000000000001</v>
      </c>
      <c r="H71" s="5">
        <f t="shared" si="6"/>
        <v>719.34</v>
      </c>
    </row>
    <row r="72" spans="1:8" ht="18" customHeight="1" x14ac:dyDescent="0.3">
      <c r="A72" s="47"/>
      <c r="B72" s="3" t="s">
        <v>8</v>
      </c>
      <c r="C72" s="50"/>
      <c r="D72" s="64"/>
      <c r="E72" s="6">
        <f>E63+E71</f>
        <v>37.225333333333339</v>
      </c>
      <c r="F72" s="6">
        <f>F63+F71</f>
        <v>43.59</v>
      </c>
      <c r="G72" s="6">
        <f>G63+G71</f>
        <v>160.90800000000002</v>
      </c>
      <c r="H72" s="6">
        <f>H63+H71</f>
        <v>1191.1399999999999</v>
      </c>
    </row>
    <row r="73" spans="1:8" ht="18" customHeight="1" x14ac:dyDescent="0.25">
      <c r="A73" s="121" t="s">
        <v>18</v>
      </c>
      <c r="B73" s="122"/>
      <c r="C73" s="53"/>
      <c r="D73" s="23"/>
      <c r="E73" s="23"/>
      <c r="F73" s="23"/>
      <c r="G73" s="23"/>
      <c r="H73" s="23"/>
    </row>
    <row r="74" spans="1:8" ht="18" customHeight="1" x14ac:dyDescent="0.25">
      <c r="A74" s="117" t="s">
        <v>11</v>
      </c>
      <c r="B74" s="117"/>
      <c r="C74" s="44"/>
      <c r="D74" s="36"/>
      <c r="E74" s="18"/>
      <c r="F74" s="10"/>
      <c r="G74" s="10"/>
      <c r="H74" s="18"/>
    </row>
    <row r="75" spans="1:8" ht="18" customHeight="1" x14ac:dyDescent="0.3">
      <c r="A75" s="93">
        <v>110</v>
      </c>
      <c r="B75" s="94" t="s">
        <v>108</v>
      </c>
      <c r="C75" s="60">
        <v>90</v>
      </c>
      <c r="D75" s="38">
        <f>40.65+4.6-3.12</f>
        <v>42.13</v>
      </c>
      <c r="E75" s="31">
        <f>6.9+3.28</f>
        <v>10.18</v>
      </c>
      <c r="F75" s="31">
        <f>10.1-1.28</f>
        <v>8.82</v>
      </c>
      <c r="G75" s="31">
        <v>8.6999999999999993</v>
      </c>
      <c r="H75" s="31">
        <v>154.9</v>
      </c>
    </row>
    <row r="76" spans="1:8" ht="18" customHeight="1" x14ac:dyDescent="0.3">
      <c r="A76" s="45">
        <v>227</v>
      </c>
      <c r="B76" s="95" t="s">
        <v>33</v>
      </c>
      <c r="C76" s="51">
        <v>120</v>
      </c>
      <c r="D76" s="41">
        <v>11.77</v>
      </c>
      <c r="E76" s="17">
        <v>3.5</v>
      </c>
      <c r="F76" s="17">
        <v>5.4</v>
      </c>
      <c r="G76" s="17">
        <f>31-12</f>
        <v>19</v>
      </c>
      <c r="H76" s="17">
        <v>138.6</v>
      </c>
    </row>
    <row r="77" spans="1:8" ht="18" customHeight="1" x14ac:dyDescent="0.3">
      <c r="A77" s="48" t="s">
        <v>35</v>
      </c>
      <c r="B77" s="4" t="s">
        <v>0</v>
      </c>
      <c r="C77" s="51">
        <v>30</v>
      </c>
      <c r="D77" s="21">
        <v>3.12</v>
      </c>
      <c r="E77" s="4">
        <f>7.9/100*30</f>
        <v>2.37</v>
      </c>
      <c r="F77" s="4">
        <f>1/100*30</f>
        <v>0.3</v>
      </c>
      <c r="G77" s="4">
        <f>48.3/100*30</f>
        <v>14.49</v>
      </c>
      <c r="H77" s="4">
        <v>70.14</v>
      </c>
    </row>
    <row r="78" spans="1:8" ht="18" customHeight="1" x14ac:dyDescent="0.3">
      <c r="A78" s="45">
        <v>300</v>
      </c>
      <c r="B78" s="25" t="s">
        <v>26</v>
      </c>
      <c r="C78" s="102">
        <v>200</v>
      </c>
      <c r="D78" s="21">
        <v>3.52</v>
      </c>
      <c r="E78" s="4">
        <v>0.1</v>
      </c>
      <c r="F78" s="4">
        <v>0</v>
      </c>
      <c r="G78" s="4">
        <v>20.2</v>
      </c>
      <c r="H78" s="4">
        <v>81.2</v>
      </c>
    </row>
    <row r="79" spans="1:8" ht="18" customHeight="1" x14ac:dyDescent="0.3">
      <c r="A79" s="45" t="s">
        <v>34</v>
      </c>
      <c r="B79" s="27" t="s">
        <v>126</v>
      </c>
      <c r="C79" s="30">
        <v>60</v>
      </c>
      <c r="D79" s="41">
        <v>13.63</v>
      </c>
      <c r="E79" s="17">
        <v>1.62</v>
      </c>
      <c r="F79" s="17">
        <v>1.58</v>
      </c>
      <c r="G79" s="17">
        <v>19.170000000000002</v>
      </c>
      <c r="H79" s="17">
        <v>97.43</v>
      </c>
    </row>
    <row r="80" spans="1:8" ht="18" customHeight="1" x14ac:dyDescent="0.3">
      <c r="A80" s="47"/>
      <c r="B80" s="9" t="s">
        <v>21</v>
      </c>
      <c r="C80" s="50">
        <f t="shared" ref="C80:H80" si="7">SUM(C75:C79)</f>
        <v>500</v>
      </c>
      <c r="D80" s="35">
        <f t="shared" si="7"/>
        <v>74.17</v>
      </c>
      <c r="E80" s="5">
        <f t="shared" si="7"/>
        <v>17.770000000000003</v>
      </c>
      <c r="F80" s="5">
        <f t="shared" si="7"/>
        <v>16.100000000000001</v>
      </c>
      <c r="G80" s="5">
        <f t="shared" si="7"/>
        <v>81.56</v>
      </c>
      <c r="H80" s="5">
        <f t="shared" si="7"/>
        <v>542.27</v>
      </c>
    </row>
    <row r="81" spans="1:8" ht="18" customHeight="1" x14ac:dyDescent="0.25">
      <c r="A81" s="115" t="s">
        <v>10</v>
      </c>
      <c r="B81" s="116"/>
      <c r="C81" s="54"/>
      <c r="D81" s="36"/>
      <c r="E81" s="18"/>
      <c r="F81" s="18"/>
      <c r="G81" s="18"/>
      <c r="H81" s="18"/>
    </row>
    <row r="82" spans="1:8" ht="18" customHeight="1" x14ac:dyDescent="0.3">
      <c r="A82" s="45">
        <v>65</v>
      </c>
      <c r="B82" s="20" t="s">
        <v>30</v>
      </c>
      <c r="C82" s="62">
        <v>250</v>
      </c>
      <c r="D82" s="38">
        <v>11.75</v>
      </c>
      <c r="E82" s="13">
        <v>7.3</v>
      </c>
      <c r="F82" s="13">
        <f>4.4+3</f>
        <v>7.4</v>
      </c>
      <c r="G82" s="13">
        <v>27.8</v>
      </c>
      <c r="H82" s="13">
        <v>207</v>
      </c>
    </row>
    <row r="83" spans="1:8" ht="18" customHeight="1" x14ac:dyDescent="0.3">
      <c r="A83" s="45">
        <v>259</v>
      </c>
      <c r="B83" s="25" t="s">
        <v>120</v>
      </c>
      <c r="C83" s="56">
        <v>220</v>
      </c>
      <c r="D83" s="21">
        <v>52.57</v>
      </c>
      <c r="E83" s="63">
        <v>14.5</v>
      </c>
      <c r="F83" s="63">
        <f>18.8-2.96</f>
        <v>15.84</v>
      </c>
      <c r="G83" s="63">
        <v>42.87</v>
      </c>
      <c r="H83" s="63">
        <v>372.04</v>
      </c>
    </row>
    <row r="84" spans="1:8" s="8" customFormat="1" ht="18" customHeight="1" x14ac:dyDescent="0.3">
      <c r="A84" s="45">
        <v>300</v>
      </c>
      <c r="B84" s="25" t="s">
        <v>25</v>
      </c>
      <c r="C84" s="51">
        <v>200</v>
      </c>
      <c r="D84" s="21">
        <v>7.09</v>
      </c>
      <c r="E84" s="22">
        <v>0.2</v>
      </c>
      <c r="F84" s="22">
        <v>0.1</v>
      </c>
      <c r="G84" s="22">
        <v>17.2</v>
      </c>
      <c r="H84" s="13">
        <v>70</v>
      </c>
    </row>
    <row r="85" spans="1:8" s="8" customFormat="1" ht="18" customHeight="1" x14ac:dyDescent="0.3">
      <c r="A85" s="48" t="s">
        <v>36</v>
      </c>
      <c r="B85" s="4" t="s">
        <v>4</v>
      </c>
      <c r="C85" s="59">
        <v>30</v>
      </c>
      <c r="D85" s="21">
        <v>2.76</v>
      </c>
      <c r="E85" s="2">
        <f>6.6/100*30</f>
        <v>1.98</v>
      </c>
      <c r="F85" s="52">
        <f>1.2/100*30</f>
        <v>0.36</v>
      </c>
      <c r="G85" s="2">
        <f>33.4/100*30</f>
        <v>10.02</v>
      </c>
      <c r="H85" s="2">
        <v>51.24</v>
      </c>
    </row>
    <row r="86" spans="1:8" ht="18" customHeight="1" x14ac:dyDescent="0.3">
      <c r="A86" s="47"/>
      <c r="B86" s="9" t="s">
        <v>21</v>
      </c>
      <c r="C86" s="50">
        <f t="shared" ref="C86:H86" si="8">SUM(C82:C85)</f>
        <v>700</v>
      </c>
      <c r="D86" s="35">
        <f t="shared" si="8"/>
        <v>74.17</v>
      </c>
      <c r="E86" s="5">
        <f t="shared" si="8"/>
        <v>23.98</v>
      </c>
      <c r="F86" s="5">
        <f t="shared" si="8"/>
        <v>23.700000000000003</v>
      </c>
      <c r="G86" s="5">
        <f t="shared" si="8"/>
        <v>97.89</v>
      </c>
      <c r="H86" s="5">
        <f t="shared" si="8"/>
        <v>700.28</v>
      </c>
    </row>
    <row r="87" spans="1:8" ht="18" customHeight="1" x14ac:dyDescent="0.3">
      <c r="A87" s="45"/>
      <c r="B87" s="105" t="s">
        <v>21</v>
      </c>
      <c r="C87" s="106">
        <f t="shared" ref="C87:H87" si="9">SUM(C82:C86)</f>
        <v>1400</v>
      </c>
      <c r="D87" s="107">
        <f t="shared" si="9"/>
        <v>148.34</v>
      </c>
      <c r="E87" s="5">
        <f t="shared" si="9"/>
        <v>47.96</v>
      </c>
      <c r="F87" s="5">
        <f t="shared" si="9"/>
        <v>47.400000000000006</v>
      </c>
      <c r="G87" s="5">
        <f t="shared" si="9"/>
        <v>195.78</v>
      </c>
      <c r="H87" s="5">
        <f t="shared" si="9"/>
        <v>1400.56</v>
      </c>
    </row>
    <row r="88" spans="1:8" ht="18" customHeight="1" x14ac:dyDescent="0.3">
      <c r="A88" s="47"/>
      <c r="B88" s="3" t="s">
        <v>8</v>
      </c>
      <c r="C88" s="50"/>
      <c r="D88" s="35"/>
      <c r="E88" s="6">
        <f>E80+E87</f>
        <v>65.73</v>
      </c>
      <c r="F88" s="6">
        <f>F80+F87</f>
        <v>63.500000000000007</v>
      </c>
      <c r="G88" s="6">
        <f>G80+G87</f>
        <v>277.34000000000003</v>
      </c>
      <c r="H88" s="6">
        <f>H80+H87</f>
        <v>1942.83</v>
      </c>
    </row>
    <row r="89" spans="1:8" ht="18" customHeight="1" x14ac:dyDescent="0.25">
      <c r="A89" s="121" t="s">
        <v>42</v>
      </c>
      <c r="B89" s="122"/>
      <c r="C89" s="53"/>
      <c r="D89" s="23"/>
      <c r="E89" s="23"/>
      <c r="F89" s="23"/>
      <c r="G89" s="23"/>
      <c r="H89" s="23"/>
    </row>
    <row r="90" spans="1:8" ht="18" customHeight="1" x14ac:dyDescent="0.25">
      <c r="A90" s="117" t="s">
        <v>11</v>
      </c>
      <c r="B90" s="117"/>
      <c r="C90" s="44"/>
      <c r="D90" s="36"/>
      <c r="E90" s="18"/>
      <c r="F90" s="18"/>
      <c r="G90" s="18"/>
      <c r="H90" s="18"/>
    </row>
    <row r="91" spans="1:8" ht="18" customHeight="1" x14ac:dyDescent="0.3">
      <c r="A91" s="45">
        <v>208</v>
      </c>
      <c r="B91" s="4" t="s">
        <v>128</v>
      </c>
      <c r="C91" s="51">
        <v>200</v>
      </c>
      <c r="D91" s="41">
        <v>37.090000000000003</v>
      </c>
      <c r="E91" s="17">
        <f>8.27160493827161+1.86+2</f>
        <v>12.131604938271609</v>
      </c>
      <c r="F91" s="17">
        <f>13.7449382716049</f>
        <v>13.7449382716049</v>
      </c>
      <c r="G91" s="17">
        <f>40.2469135802469-2.64-16</f>
        <v>21.606913580246896</v>
      </c>
      <c r="H91" s="73">
        <v>258.66000000000003</v>
      </c>
    </row>
    <row r="92" spans="1:8" ht="18" customHeight="1" x14ac:dyDescent="0.3">
      <c r="A92" s="48" t="s">
        <v>35</v>
      </c>
      <c r="B92" s="4" t="s">
        <v>0</v>
      </c>
      <c r="C92" s="51">
        <v>30</v>
      </c>
      <c r="D92" s="21">
        <v>3.12</v>
      </c>
      <c r="E92" s="4">
        <f>7.9/100*30</f>
        <v>2.37</v>
      </c>
      <c r="F92" s="4">
        <f>1/100*30</f>
        <v>0.3</v>
      </c>
      <c r="G92" s="4">
        <f>48.3/100*30</f>
        <v>14.49</v>
      </c>
      <c r="H92" s="4">
        <v>70.14</v>
      </c>
    </row>
    <row r="93" spans="1:8" ht="18" customHeight="1" x14ac:dyDescent="0.3">
      <c r="A93" s="45" t="s">
        <v>34</v>
      </c>
      <c r="B93" s="27" t="s">
        <v>126</v>
      </c>
      <c r="C93" s="30">
        <v>60</v>
      </c>
      <c r="D93" s="41">
        <v>13.63</v>
      </c>
      <c r="E93" s="17">
        <v>1.62</v>
      </c>
      <c r="F93" s="17">
        <v>1.58</v>
      </c>
      <c r="G93" s="17">
        <v>19.170000000000002</v>
      </c>
      <c r="H93" s="17">
        <v>97.43</v>
      </c>
    </row>
    <row r="94" spans="1:8" ht="15.6" x14ac:dyDescent="0.3">
      <c r="A94" s="45">
        <v>300</v>
      </c>
      <c r="B94" s="25" t="s">
        <v>127</v>
      </c>
      <c r="C94" s="51">
        <v>200</v>
      </c>
      <c r="D94" s="21">
        <v>3.52</v>
      </c>
      <c r="E94" s="4">
        <v>0.1</v>
      </c>
      <c r="F94" s="4">
        <v>0</v>
      </c>
      <c r="G94" s="4">
        <v>20.2</v>
      </c>
      <c r="H94" s="4">
        <v>81.2</v>
      </c>
    </row>
    <row r="95" spans="1:8" ht="18" customHeight="1" x14ac:dyDescent="0.3">
      <c r="A95" s="45" t="s">
        <v>34</v>
      </c>
      <c r="B95" s="14" t="s">
        <v>32</v>
      </c>
      <c r="C95" s="30">
        <v>60</v>
      </c>
      <c r="D95" s="41">
        <f>13.9523076923077+5.98-3.12</f>
        <v>16.812307692307702</v>
      </c>
      <c r="E95" s="17">
        <v>0.84115384615384636</v>
      </c>
      <c r="F95" s="17">
        <v>0.18692307692307694</v>
      </c>
      <c r="G95" s="17">
        <v>2.1426923076923075</v>
      </c>
      <c r="H95" s="17">
        <v>13.62</v>
      </c>
    </row>
    <row r="96" spans="1:8" ht="18" customHeight="1" x14ac:dyDescent="0.3">
      <c r="A96" s="45"/>
      <c r="B96" s="9" t="s">
        <v>21</v>
      </c>
      <c r="C96" s="50">
        <f t="shared" ref="C96:H96" si="10">SUM(C91:C95)</f>
        <v>550</v>
      </c>
      <c r="D96" s="35">
        <f>SUM(D91:D95)</f>
        <v>74.172307692307712</v>
      </c>
      <c r="E96" s="35">
        <f t="shared" si="10"/>
        <v>17.062758784425458</v>
      </c>
      <c r="F96" s="35">
        <f t="shared" si="10"/>
        <v>15.811861348527977</v>
      </c>
      <c r="G96" s="35">
        <f t="shared" si="10"/>
        <v>77.60960588793921</v>
      </c>
      <c r="H96" s="35">
        <f t="shared" si="10"/>
        <v>521.04999999999995</v>
      </c>
    </row>
    <row r="97" spans="1:8" ht="18" customHeight="1" x14ac:dyDescent="0.25">
      <c r="A97" s="115" t="s">
        <v>10</v>
      </c>
      <c r="B97" s="116"/>
      <c r="C97" s="34"/>
      <c r="D97" s="36"/>
      <c r="E97" s="18"/>
      <c r="F97" s="18"/>
      <c r="G97" s="18"/>
      <c r="H97" s="18"/>
    </row>
    <row r="98" spans="1:8" ht="18" customHeight="1" x14ac:dyDescent="0.3">
      <c r="A98" s="45">
        <v>62</v>
      </c>
      <c r="B98" s="87" t="s">
        <v>39</v>
      </c>
      <c r="C98" s="58">
        <v>220</v>
      </c>
      <c r="D98" s="41">
        <v>14.025</v>
      </c>
      <c r="E98" s="16">
        <v>6.38</v>
      </c>
      <c r="F98" s="16">
        <v>4.7299999999999995</v>
      </c>
      <c r="G98" s="16">
        <v>30.580000000000002</v>
      </c>
      <c r="H98" s="16">
        <v>190.41</v>
      </c>
    </row>
    <row r="99" spans="1:8" ht="18" customHeight="1" x14ac:dyDescent="0.3">
      <c r="A99" s="45">
        <v>107</v>
      </c>
      <c r="B99" s="94" t="s">
        <v>106</v>
      </c>
      <c r="C99" s="60">
        <v>90</v>
      </c>
      <c r="D99" s="21">
        <f>36.51+3.12+2.22</f>
        <v>41.849999999999994</v>
      </c>
      <c r="E99" s="22">
        <f>8.82+3</f>
        <v>11.82</v>
      </c>
      <c r="F99" s="22">
        <f>7.2+2.84+4</f>
        <v>14.04</v>
      </c>
      <c r="G99" s="22">
        <f>6.3+4.48</f>
        <v>10.780000000000001</v>
      </c>
      <c r="H99" s="22">
        <v>216.76</v>
      </c>
    </row>
    <row r="100" spans="1:8" s="8" customFormat="1" ht="18" customHeight="1" x14ac:dyDescent="0.3">
      <c r="A100" s="45">
        <v>227</v>
      </c>
      <c r="B100" s="1" t="s">
        <v>20</v>
      </c>
      <c r="C100" s="57">
        <v>150</v>
      </c>
      <c r="D100" s="41">
        <v>9.49</v>
      </c>
      <c r="E100" s="31">
        <v>7.1253333333333337</v>
      </c>
      <c r="F100" s="31">
        <v>7.69</v>
      </c>
      <c r="G100" s="31">
        <v>21.407999999999998</v>
      </c>
      <c r="H100" s="31">
        <v>183.34</v>
      </c>
    </row>
    <row r="101" spans="1:8" ht="18" customHeight="1" x14ac:dyDescent="0.3">
      <c r="A101" s="45">
        <v>311</v>
      </c>
      <c r="B101" s="13" t="s">
        <v>51</v>
      </c>
      <c r="C101" s="30">
        <v>200</v>
      </c>
      <c r="D101" s="21">
        <f>5.73+0.31</f>
        <v>6.04</v>
      </c>
      <c r="E101" s="22">
        <v>0.2</v>
      </c>
      <c r="F101" s="22">
        <v>0.1</v>
      </c>
      <c r="G101" s="22">
        <v>17.2</v>
      </c>
      <c r="H101" s="13">
        <v>70</v>
      </c>
    </row>
    <row r="102" spans="1:8" ht="18" customHeight="1" x14ac:dyDescent="0.3">
      <c r="A102" s="48" t="s">
        <v>36</v>
      </c>
      <c r="B102" s="76" t="s">
        <v>4</v>
      </c>
      <c r="C102" s="51">
        <v>40</v>
      </c>
      <c r="D102" s="21">
        <v>2.76</v>
      </c>
      <c r="E102" s="2">
        <f>6.6/100*30</f>
        <v>1.98</v>
      </c>
      <c r="F102" s="52">
        <f>1.2/100*30</f>
        <v>0.36</v>
      </c>
      <c r="G102" s="2">
        <f>33.4/100*30</f>
        <v>10.02</v>
      </c>
      <c r="H102" s="2">
        <v>51.24</v>
      </c>
    </row>
    <row r="103" spans="1:8" ht="18" customHeight="1" x14ac:dyDescent="0.3">
      <c r="A103" s="47"/>
      <c r="B103" s="9" t="s">
        <v>21</v>
      </c>
      <c r="C103" s="50">
        <f t="shared" ref="C103:H103" si="11">SUM(C98:C102)</f>
        <v>700</v>
      </c>
      <c r="D103" s="35">
        <f t="shared" si="11"/>
        <v>74.165000000000006</v>
      </c>
      <c r="E103" s="35">
        <f t="shared" si="11"/>
        <v>27.505333333333333</v>
      </c>
      <c r="F103" s="35">
        <f t="shared" si="11"/>
        <v>26.92</v>
      </c>
      <c r="G103" s="35">
        <f t="shared" si="11"/>
        <v>89.988</v>
      </c>
      <c r="H103" s="35">
        <f t="shared" si="11"/>
        <v>711.75</v>
      </c>
    </row>
    <row r="104" spans="1:8" ht="18" customHeight="1" x14ac:dyDescent="0.3">
      <c r="A104" s="47"/>
      <c r="B104" s="3" t="s">
        <v>8</v>
      </c>
      <c r="C104" s="50"/>
      <c r="D104" s="35"/>
      <c r="E104" s="35">
        <f>E96+E103</f>
        <v>44.568092117758795</v>
      </c>
      <c r="F104" s="35">
        <f>F96+F103</f>
        <v>42.731861348527978</v>
      </c>
      <c r="G104" s="35">
        <f>G96+G103</f>
        <v>167.59760588793921</v>
      </c>
      <c r="H104" s="35">
        <f>H96+H103</f>
        <v>1232.8</v>
      </c>
    </row>
    <row r="105" spans="1:8" ht="18" customHeight="1" x14ac:dyDescent="0.25">
      <c r="A105" s="121" t="s">
        <v>43</v>
      </c>
      <c r="B105" s="122"/>
      <c r="C105" s="53"/>
      <c r="D105" s="23"/>
      <c r="E105" s="23"/>
      <c r="F105" s="23"/>
      <c r="G105" s="23"/>
      <c r="H105" s="23"/>
    </row>
    <row r="106" spans="1:8" ht="39.75" customHeight="1" x14ac:dyDescent="0.25">
      <c r="A106" s="117" t="s">
        <v>9</v>
      </c>
      <c r="B106" s="117"/>
      <c r="C106" s="44"/>
      <c r="D106" s="36"/>
      <c r="E106" s="18"/>
      <c r="F106" s="18"/>
      <c r="G106" s="18"/>
      <c r="H106" s="18"/>
    </row>
    <row r="107" spans="1:8" ht="31.2" x14ac:dyDescent="0.3">
      <c r="A107" s="45">
        <v>241</v>
      </c>
      <c r="B107" s="27" t="s">
        <v>107</v>
      </c>
      <c r="C107" s="51">
        <v>130</v>
      </c>
      <c r="D107" s="112">
        <f>37.6-0.35+0.02</f>
        <v>37.270000000000003</v>
      </c>
      <c r="E107" s="112">
        <v>11.6</v>
      </c>
      <c r="F107" s="112">
        <v>15.2</v>
      </c>
      <c r="G107" s="112">
        <f>7.2+25.47-8.4</f>
        <v>24.270000000000003</v>
      </c>
      <c r="H107" s="112">
        <v>280.27999999999997</v>
      </c>
    </row>
    <row r="108" spans="1:8" ht="18" customHeight="1" x14ac:dyDescent="0.3">
      <c r="A108" s="45" t="s">
        <v>34</v>
      </c>
      <c r="B108" s="14" t="s">
        <v>121</v>
      </c>
      <c r="C108" s="30">
        <v>50</v>
      </c>
      <c r="D108" s="41">
        <f>9.95</f>
        <v>9.9499999999999993</v>
      </c>
      <c r="E108" s="17">
        <v>1.62</v>
      </c>
      <c r="F108" s="17">
        <v>1.58</v>
      </c>
      <c r="G108" s="17">
        <v>19.170000000000002</v>
      </c>
      <c r="H108" s="17">
        <v>97.43</v>
      </c>
    </row>
    <row r="109" spans="1:8" ht="18" customHeight="1" x14ac:dyDescent="0.3">
      <c r="A109" s="45">
        <v>300</v>
      </c>
      <c r="B109" s="25" t="s">
        <v>26</v>
      </c>
      <c r="C109" s="51">
        <v>200</v>
      </c>
      <c r="D109" s="113">
        <v>3.52</v>
      </c>
      <c r="E109" s="112">
        <v>0.1</v>
      </c>
      <c r="F109" s="112">
        <v>0</v>
      </c>
      <c r="G109" s="112">
        <v>20.2</v>
      </c>
      <c r="H109" s="112">
        <v>81.2</v>
      </c>
    </row>
    <row r="110" spans="1:8" ht="18" customHeight="1" x14ac:dyDescent="0.3">
      <c r="A110" s="45" t="s">
        <v>34</v>
      </c>
      <c r="B110" s="14" t="s">
        <v>32</v>
      </c>
      <c r="C110" s="30">
        <v>120</v>
      </c>
      <c r="D110" s="112">
        <f>30.23/130*110-2.15</f>
        <v>23.429230769230774</v>
      </c>
      <c r="E110" s="112">
        <v>1.542115384615385</v>
      </c>
      <c r="F110" s="112">
        <v>0.34269230769230774</v>
      </c>
      <c r="G110" s="112">
        <v>3.9282692307692302</v>
      </c>
      <c r="H110" s="112">
        <v>24.97</v>
      </c>
    </row>
    <row r="111" spans="1:8" ht="18" customHeight="1" x14ac:dyDescent="0.3">
      <c r="A111" s="47"/>
      <c r="B111" s="9" t="s">
        <v>21</v>
      </c>
      <c r="C111" s="50">
        <f t="shared" ref="C111:H111" si="12">SUM(C107:C110)</f>
        <v>500</v>
      </c>
      <c r="D111" s="35">
        <f t="shared" si="12"/>
        <v>74.169230769230779</v>
      </c>
      <c r="E111" s="35">
        <f t="shared" si="12"/>
        <v>14.862115384615384</v>
      </c>
      <c r="F111" s="35">
        <f t="shared" si="12"/>
        <v>17.122692307692308</v>
      </c>
      <c r="G111" s="35">
        <f t="shared" si="12"/>
        <v>67.568269230769232</v>
      </c>
      <c r="H111" s="35">
        <f t="shared" si="12"/>
        <v>483.88</v>
      </c>
    </row>
    <row r="112" spans="1:8" ht="18" customHeight="1" x14ac:dyDescent="0.25">
      <c r="A112" s="116" t="s">
        <v>10</v>
      </c>
      <c r="B112" s="116"/>
      <c r="C112" s="34"/>
      <c r="D112" s="36"/>
      <c r="E112" s="18"/>
      <c r="F112" s="18"/>
      <c r="G112" s="18"/>
      <c r="H112" s="18"/>
    </row>
    <row r="113" spans="1:8" ht="18" customHeight="1" x14ac:dyDescent="0.3">
      <c r="A113" s="45">
        <v>55</v>
      </c>
      <c r="B113" s="14" t="s">
        <v>102</v>
      </c>
      <c r="C113" s="57">
        <v>220</v>
      </c>
      <c r="D113" s="41">
        <v>16.25</v>
      </c>
      <c r="E113" s="14">
        <v>2</v>
      </c>
      <c r="F113" s="14">
        <v>9.4</v>
      </c>
      <c r="G113" s="14">
        <v>17.8</v>
      </c>
      <c r="H113" s="14">
        <v>163.80000000000001</v>
      </c>
    </row>
    <row r="114" spans="1:8" s="8" customFormat="1" ht="18" customHeight="1" x14ac:dyDescent="0.3">
      <c r="A114" s="48" t="s">
        <v>38</v>
      </c>
      <c r="B114" s="1" t="s">
        <v>124</v>
      </c>
      <c r="C114" s="56">
        <v>90</v>
      </c>
      <c r="D114" s="21">
        <v>45.64</v>
      </c>
      <c r="E114" s="63">
        <v>8.8000000000000007</v>
      </c>
      <c r="F114" s="31">
        <v>9.3000000000000007</v>
      </c>
      <c r="G114" s="31">
        <v>14.1</v>
      </c>
      <c r="H114" s="31">
        <v>175.3</v>
      </c>
    </row>
    <row r="115" spans="1:8" s="8" customFormat="1" ht="18" customHeight="1" x14ac:dyDescent="0.3">
      <c r="A115" s="45">
        <v>227</v>
      </c>
      <c r="B115" s="32" t="s">
        <v>33</v>
      </c>
      <c r="C115" s="60">
        <v>150</v>
      </c>
      <c r="D115" s="41">
        <v>6</v>
      </c>
      <c r="E115" s="31">
        <v>6.6666666666666696</v>
      </c>
      <c r="F115" s="31">
        <v>5.8666666666666671</v>
      </c>
      <c r="G115" s="31">
        <f>53.3333333333333-28</f>
        <v>25.3333333333333</v>
      </c>
      <c r="H115" s="31">
        <v>180.8</v>
      </c>
    </row>
    <row r="116" spans="1:8" ht="18" customHeight="1" x14ac:dyDescent="0.3">
      <c r="A116" s="45">
        <v>300</v>
      </c>
      <c r="B116" s="25" t="s">
        <v>26</v>
      </c>
      <c r="C116" s="51">
        <v>200</v>
      </c>
      <c r="D116" s="113">
        <v>3.52</v>
      </c>
      <c r="E116" s="112">
        <v>0.1</v>
      </c>
      <c r="F116" s="112">
        <v>0</v>
      </c>
      <c r="G116" s="112">
        <v>20.2</v>
      </c>
      <c r="H116" s="112">
        <v>81.2</v>
      </c>
    </row>
    <row r="117" spans="1:8" ht="18" customHeight="1" x14ac:dyDescent="0.3">
      <c r="A117" s="48" t="s">
        <v>36</v>
      </c>
      <c r="B117" s="4" t="s">
        <v>4</v>
      </c>
      <c r="C117" s="51">
        <v>40</v>
      </c>
      <c r="D117" s="21">
        <v>2.76</v>
      </c>
      <c r="E117" s="2">
        <f>6.6/100*30</f>
        <v>1.98</v>
      </c>
      <c r="F117" s="52">
        <f>1.2/100*30</f>
        <v>0.36</v>
      </c>
      <c r="G117" s="2">
        <f>33.4/100*30</f>
        <v>10.02</v>
      </c>
      <c r="H117" s="2">
        <v>51.24</v>
      </c>
    </row>
    <row r="118" spans="1:8" ht="18" customHeight="1" x14ac:dyDescent="0.3">
      <c r="A118" s="47"/>
      <c r="B118" s="9" t="s">
        <v>21</v>
      </c>
      <c r="C118" s="50">
        <f t="shared" ref="C118:H118" si="13">SUM(C113:C117)</f>
        <v>700</v>
      </c>
      <c r="D118" s="75">
        <f t="shared" si="13"/>
        <v>74.17</v>
      </c>
      <c r="E118" s="114">
        <f t="shared" si="13"/>
        <v>19.54666666666667</v>
      </c>
      <c r="F118" s="114">
        <f t="shared" si="13"/>
        <v>24.926666666666669</v>
      </c>
      <c r="G118" s="114">
        <f t="shared" si="13"/>
        <v>87.453333333333291</v>
      </c>
      <c r="H118" s="114">
        <f t="shared" si="13"/>
        <v>652.34000000000015</v>
      </c>
    </row>
    <row r="119" spans="1:8" ht="18" customHeight="1" x14ac:dyDescent="0.3">
      <c r="A119" s="47"/>
      <c r="B119" s="3" t="s">
        <v>8</v>
      </c>
      <c r="C119" s="50"/>
      <c r="D119" s="35"/>
      <c r="E119" s="35">
        <f>E111+E118</f>
        <v>34.408782051282053</v>
      </c>
      <c r="F119" s="35">
        <f>F111+F118</f>
        <v>42.049358974358981</v>
      </c>
      <c r="G119" s="35">
        <f>G111+G118</f>
        <v>155.02160256410252</v>
      </c>
      <c r="H119" s="35">
        <f>H111+H118</f>
        <v>1136.2200000000003</v>
      </c>
    </row>
    <row r="120" spans="1:8" ht="18" customHeight="1" x14ac:dyDescent="0.25">
      <c r="A120" s="121" t="s">
        <v>44</v>
      </c>
      <c r="B120" s="122"/>
      <c r="C120" s="53"/>
      <c r="D120" s="23"/>
      <c r="E120" s="23"/>
      <c r="F120" s="23"/>
      <c r="G120" s="23"/>
      <c r="H120" s="23"/>
    </row>
    <row r="121" spans="1:8" ht="18" customHeight="1" x14ac:dyDescent="0.25">
      <c r="A121" s="117" t="s">
        <v>11</v>
      </c>
      <c r="B121" s="117"/>
      <c r="C121" s="44"/>
      <c r="D121" s="36"/>
      <c r="E121" s="10"/>
      <c r="F121" s="10"/>
      <c r="G121" s="10"/>
      <c r="H121" s="18"/>
    </row>
    <row r="122" spans="1:8" s="8" customFormat="1" ht="18" customHeight="1" x14ac:dyDescent="0.3">
      <c r="A122" s="93">
        <v>110</v>
      </c>
      <c r="B122" s="95" t="s">
        <v>123</v>
      </c>
      <c r="C122" s="60">
        <v>90</v>
      </c>
      <c r="D122" s="38">
        <f>49.46+0.02+2</f>
        <v>51.480000000000004</v>
      </c>
      <c r="E122" s="31">
        <v>7.6666666666666679</v>
      </c>
      <c r="F122" s="31">
        <f>11.2222222222222-1.59</f>
        <v>9.6322222222222003</v>
      </c>
      <c r="G122" s="31">
        <f>9.66666666666667-2.69</f>
        <v>6.9766666666666701</v>
      </c>
      <c r="H122" s="31">
        <v>145.26</v>
      </c>
    </row>
    <row r="123" spans="1:8" ht="18" customHeight="1" x14ac:dyDescent="0.3">
      <c r="A123" s="45">
        <v>227</v>
      </c>
      <c r="B123" s="98" t="s">
        <v>19</v>
      </c>
      <c r="C123" s="56">
        <v>180</v>
      </c>
      <c r="D123" s="41">
        <v>16.05</v>
      </c>
      <c r="E123" s="31">
        <v>6.6666666666666696</v>
      </c>
      <c r="F123" s="31">
        <v>5.8666666666666671</v>
      </c>
      <c r="G123" s="31">
        <f>53.3333333333333-28</f>
        <v>25.3333333333333</v>
      </c>
      <c r="H123" s="31">
        <v>180.8</v>
      </c>
    </row>
    <row r="124" spans="1:8" ht="18" customHeight="1" x14ac:dyDescent="0.3">
      <c r="A124" s="45">
        <v>300</v>
      </c>
      <c r="B124" s="98" t="s">
        <v>26</v>
      </c>
      <c r="C124" s="51">
        <v>200</v>
      </c>
      <c r="D124" s="21">
        <v>3.52</v>
      </c>
      <c r="E124" s="4">
        <v>0.1</v>
      </c>
      <c r="F124" s="4">
        <v>0</v>
      </c>
      <c r="G124" s="4">
        <v>20.2</v>
      </c>
      <c r="H124" s="4">
        <v>81.2</v>
      </c>
    </row>
    <row r="125" spans="1:8" ht="18" customHeight="1" x14ac:dyDescent="0.3">
      <c r="A125" s="48" t="s">
        <v>35</v>
      </c>
      <c r="B125" s="96" t="s">
        <v>0</v>
      </c>
      <c r="C125" s="51">
        <v>30</v>
      </c>
      <c r="D125" s="21">
        <v>3.12</v>
      </c>
      <c r="E125" s="4">
        <f>7.9/100*30</f>
        <v>2.37</v>
      </c>
      <c r="F125" s="4">
        <f>1/100*30</f>
        <v>0.3</v>
      </c>
      <c r="G125" s="4">
        <f>48.3/100*30</f>
        <v>14.49</v>
      </c>
      <c r="H125" s="4">
        <v>70.14</v>
      </c>
    </row>
    <row r="126" spans="1:8" ht="18" customHeight="1" x14ac:dyDescent="0.3">
      <c r="A126" s="47"/>
      <c r="B126" s="9" t="s">
        <v>21</v>
      </c>
      <c r="C126" s="50">
        <f t="shared" ref="C126:H126" si="14">SUM(C122:C125)</f>
        <v>500</v>
      </c>
      <c r="D126" s="6">
        <f t="shared" si="14"/>
        <v>74.17</v>
      </c>
      <c r="E126" s="5">
        <f t="shared" si="14"/>
        <v>16.803333333333338</v>
      </c>
      <c r="F126" s="5">
        <f t="shared" si="14"/>
        <v>15.798888888888868</v>
      </c>
      <c r="G126" s="5">
        <f t="shared" si="14"/>
        <v>66.999999999999972</v>
      </c>
      <c r="H126" s="5">
        <f t="shared" si="14"/>
        <v>477.4</v>
      </c>
    </row>
    <row r="127" spans="1:8" ht="18" customHeight="1" x14ac:dyDescent="0.25">
      <c r="A127" s="115" t="s">
        <v>10</v>
      </c>
      <c r="B127" s="116"/>
      <c r="C127" s="54"/>
      <c r="D127" s="36"/>
      <c r="E127" s="18"/>
      <c r="F127" s="18"/>
      <c r="G127" s="18"/>
      <c r="H127" s="18"/>
    </row>
    <row r="128" spans="1:8" ht="33.75" customHeight="1" x14ac:dyDescent="0.3">
      <c r="A128" s="45">
        <v>56</v>
      </c>
      <c r="B128" s="91" t="s">
        <v>122</v>
      </c>
      <c r="C128" s="58">
        <v>210</v>
      </c>
      <c r="D128" s="38">
        <f>17.88-5.63</f>
        <v>12.25</v>
      </c>
      <c r="E128" s="13">
        <v>2.4</v>
      </c>
      <c r="F128" s="13">
        <v>8</v>
      </c>
      <c r="G128" s="13">
        <v>30.7</v>
      </c>
      <c r="H128" s="13">
        <v>204.4</v>
      </c>
    </row>
    <row r="129" spans="1:8" s="8" customFormat="1" ht="18" customHeight="1" x14ac:dyDescent="0.3">
      <c r="A129" s="45">
        <v>96</v>
      </c>
      <c r="B129" s="98" t="s">
        <v>50</v>
      </c>
      <c r="C129" s="57">
        <v>30</v>
      </c>
      <c r="D129" s="21">
        <v>7.1999999999999993</v>
      </c>
      <c r="E129" s="16">
        <f>14.02-7</f>
        <v>7.02</v>
      </c>
      <c r="F129" s="16">
        <f>9.3-1.96</f>
        <v>7.3400000000000007</v>
      </c>
      <c r="G129" s="16">
        <v>7.1</v>
      </c>
      <c r="H129" s="16">
        <v>122.54</v>
      </c>
    </row>
    <row r="130" spans="1:8" s="8" customFormat="1" ht="18" customHeight="1" x14ac:dyDescent="0.3">
      <c r="A130" s="45">
        <v>158</v>
      </c>
      <c r="B130" s="108" t="s">
        <v>47</v>
      </c>
      <c r="C130" s="57">
        <v>200</v>
      </c>
      <c r="D130" s="41">
        <v>41.11</v>
      </c>
      <c r="E130" s="14">
        <v>12.65</v>
      </c>
      <c r="F130" s="19">
        <f>13.2/180*220</f>
        <v>16.133333333333333</v>
      </c>
      <c r="G130" s="19">
        <v>15.06</v>
      </c>
      <c r="H130" s="15">
        <v>256.04000000000002</v>
      </c>
    </row>
    <row r="131" spans="1:8" ht="18" customHeight="1" x14ac:dyDescent="0.3">
      <c r="A131" s="45">
        <v>300</v>
      </c>
      <c r="B131" s="109" t="s">
        <v>29</v>
      </c>
      <c r="C131" s="51">
        <v>200</v>
      </c>
      <c r="D131" s="21">
        <v>7.73</v>
      </c>
      <c r="E131" s="4">
        <v>0.1</v>
      </c>
      <c r="F131" s="4">
        <v>0</v>
      </c>
      <c r="G131" s="4">
        <v>20.2</v>
      </c>
      <c r="H131" s="4">
        <v>81.2</v>
      </c>
    </row>
    <row r="132" spans="1:8" ht="18" customHeight="1" x14ac:dyDescent="0.3">
      <c r="A132" s="48" t="s">
        <v>36</v>
      </c>
      <c r="B132" s="96" t="s">
        <v>4</v>
      </c>
      <c r="C132" s="51">
        <v>30</v>
      </c>
      <c r="D132" s="21">
        <v>2.76</v>
      </c>
      <c r="E132" s="2">
        <f>6.6/100*30</f>
        <v>1.98</v>
      </c>
      <c r="F132" s="52">
        <f>1.2/100*30</f>
        <v>0.36</v>
      </c>
      <c r="G132" s="2">
        <f>33.4/100*30</f>
        <v>10.02</v>
      </c>
      <c r="H132" s="2">
        <v>51.24</v>
      </c>
    </row>
    <row r="133" spans="1:8" ht="18" customHeight="1" x14ac:dyDescent="0.3">
      <c r="A133" s="48" t="s">
        <v>35</v>
      </c>
      <c r="B133" s="96" t="s">
        <v>0</v>
      </c>
      <c r="C133" s="51">
        <v>30</v>
      </c>
      <c r="D133" s="21">
        <v>3.12</v>
      </c>
      <c r="E133" s="4">
        <f>7.9/100*30</f>
        <v>2.37</v>
      </c>
      <c r="F133" s="4">
        <f>1/100*30</f>
        <v>0.3</v>
      </c>
      <c r="G133" s="4">
        <f>48.3/100*30</f>
        <v>14.49</v>
      </c>
      <c r="H133" s="4">
        <v>70.14</v>
      </c>
    </row>
    <row r="134" spans="1:8" ht="18" customHeight="1" x14ac:dyDescent="0.3">
      <c r="A134" s="47"/>
      <c r="B134" s="9" t="s">
        <v>21</v>
      </c>
      <c r="C134" s="50">
        <f t="shared" ref="C134:H134" si="15">SUM(C128:C133)</f>
        <v>700</v>
      </c>
      <c r="D134" s="75">
        <f t="shared" si="15"/>
        <v>74.170000000000016</v>
      </c>
      <c r="E134" s="75">
        <f t="shared" si="15"/>
        <v>26.520000000000003</v>
      </c>
      <c r="F134" s="75">
        <f t="shared" si="15"/>
        <v>32.133333333333333</v>
      </c>
      <c r="G134" s="75">
        <f t="shared" si="15"/>
        <v>97.57</v>
      </c>
      <c r="H134" s="75">
        <f t="shared" si="15"/>
        <v>785.56000000000006</v>
      </c>
    </row>
    <row r="135" spans="1:8" ht="18" customHeight="1" x14ac:dyDescent="0.3">
      <c r="A135" s="47"/>
      <c r="B135" s="3" t="s">
        <v>8</v>
      </c>
      <c r="C135" s="50"/>
      <c r="D135" s="35"/>
      <c r="E135" s="6">
        <f>E126+E134</f>
        <v>43.323333333333338</v>
      </c>
      <c r="F135" s="6">
        <f>F126+F134</f>
        <v>47.932222222222201</v>
      </c>
      <c r="G135" s="6">
        <f>G126+G134</f>
        <v>164.56999999999996</v>
      </c>
      <c r="H135" s="6">
        <f>H126+H134</f>
        <v>1262.96</v>
      </c>
    </row>
    <row r="136" spans="1:8" ht="18" customHeight="1" x14ac:dyDescent="0.25">
      <c r="A136" s="115" t="s">
        <v>45</v>
      </c>
      <c r="B136" s="116"/>
      <c r="C136" s="34"/>
      <c r="D136" s="33"/>
      <c r="E136" s="23"/>
      <c r="F136" s="23"/>
      <c r="G136" s="23"/>
      <c r="H136" s="33"/>
    </row>
    <row r="137" spans="1:8" ht="18" customHeight="1" x14ac:dyDescent="0.25">
      <c r="A137" s="115" t="s">
        <v>11</v>
      </c>
      <c r="B137" s="116"/>
      <c r="C137" s="54"/>
      <c r="D137" s="35"/>
      <c r="E137" s="3"/>
      <c r="F137" s="3"/>
      <c r="G137" s="3"/>
      <c r="H137" s="3"/>
    </row>
    <row r="138" spans="1:8" ht="18" customHeight="1" x14ac:dyDescent="0.3">
      <c r="A138" s="45">
        <v>258</v>
      </c>
      <c r="B138" s="4" t="s">
        <v>113</v>
      </c>
      <c r="C138" s="51">
        <v>150</v>
      </c>
      <c r="D138" s="41">
        <f>29.8+7.65</f>
        <v>37.450000000000003</v>
      </c>
      <c r="E138" s="17">
        <v>11.75</v>
      </c>
      <c r="F138" s="17">
        <f>15.3-1.39</f>
        <v>13.91</v>
      </c>
      <c r="G138" s="17">
        <f>52.16-28.1</f>
        <v>24.059999999999995</v>
      </c>
      <c r="H138" s="73">
        <v>268.43</v>
      </c>
    </row>
    <row r="139" spans="1:8" ht="18" customHeight="1" x14ac:dyDescent="0.3">
      <c r="A139" s="45" t="s">
        <v>34</v>
      </c>
      <c r="B139" s="25" t="s">
        <v>112</v>
      </c>
      <c r="C139" s="51">
        <v>100</v>
      </c>
      <c r="D139" s="21">
        <v>23.25</v>
      </c>
      <c r="E139" s="17">
        <v>1.4019230769230773</v>
      </c>
      <c r="F139" s="17">
        <v>0.3115384615384616</v>
      </c>
      <c r="G139" s="17">
        <v>3.5711538461538463</v>
      </c>
      <c r="H139" s="17">
        <v>22.7</v>
      </c>
    </row>
    <row r="140" spans="1:8" s="8" customFormat="1" ht="18" customHeight="1" x14ac:dyDescent="0.3">
      <c r="A140" s="45" t="s">
        <v>34</v>
      </c>
      <c r="B140" s="97" t="s">
        <v>23</v>
      </c>
      <c r="C140" s="30">
        <v>50</v>
      </c>
      <c r="D140" s="41">
        <f>9.95</f>
        <v>9.9499999999999993</v>
      </c>
      <c r="E140" s="17">
        <v>1.62</v>
      </c>
      <c r="F140" s="17">
        <v>1.58</v>
      </c>
      <c r="G140" s="17">
        <v>19.170000000000002</v>
      </c>
      <c r="H140" s="17">
        <v>97.43</v>
      </c>
    </row>
    <row r="141" spans="1:8" ht="18" customHeight="1" x14ac:dyDescent="0.3">
      <c r="A141" s="45">
        <v>300</v>
      </c>
      <c r="B141" s="25" t="s">
        <v>26</v>
      </c>
      <c r="C141" s="51">
        <v>200</v>
      </c>
      <c r="D141" s="21">
        <v>3.52</v>
      </c>
      <c r="E141" s="4">
        <v>0.1</v>
      </c>
      <c r="F141" s="4">
        <v>0</v>
      </c>
      <c r="G141" s="4">
        <v>20.2</v>
      </c>
      <c r="H141" s="4">
        <v>81.2</v>
      </c>
    </row>
    <row r="142" spans="1:8" ht="18" customHeight="1" x14ac:dyDescent="0.3">
      <c r="A142" s="47"/>
      <c r="B142" s="9" t="s">
        <v>21</v>
      </c>
      <c r="C142" s="50">
        <f t="shared" ref="C142:H142" si="16">SUM(C138:C141)</f>
        <v>500</v>
      </c>
      <c r="D142" s="35">
        <f t="shared" si="16"/>
        <v>74.17</v>
      </c>
      <c r="E142" s="35">
        <f t="shared" si="16"/>
        <v>14.871923076923077</v>
      </c>
      <c r="F142" s="35">
        <f t="shared" si="16"/>
        <v>15.801538461538462</v>
      </c>
      <c r="G142" s="35">
        <f t="shared" si="16"/>
        <v>67.001153846153841</v>
      </c>
      <c r="H142" s="35">
        <f t="shared" si="16"/>
        <v>469.76</v>
      </c>
    </row>
    <row r="143" spans="1:8" ht="18" customHeight="1" x14ac:dyDescent="0.3">
      <c r="A143" s="49"/>
      <c r="B143" s="28"/>
      <c r="C143" s="61"/>
      <c r="D143" s="36"/>
      <c r="E143" s="10"/>
      <c r="F143" s="10"/>
      <c r="G143" s="10"/>
      <c r="H143" s="10"/>
    </row>
    <row r="144" spans="1:8" ht="18" customHeight="1" x14ac:dyDescent="0.25">
      <c r="A144" s="117" t="s">
        <v>10</v>
      </c>
      <c r="B144" s="117"/>
      <c r="C144" s="44"/>
      <c r="D144" s="36"/>
      <c r="E144" s="18"/>
      <c r="F144" s="18"/>
      <c r="G144" s="18"/>
      <c r="H144" s="18"/>
    </row>
    <row r="145" spans="1:8" ht="18" customHeight="1" x14ac:dyDescent="0.3">
      <c r="A145" s="45">
        <v>55</v>
      </c>
      <c r="B145" s="20" t="s">
        <v>129</v>
      </c>
      <c r="C145" s="62">
        <v>200</v>
      </c>
      <c r="D145" s="38">
        <v>12.75</v>
      </c>
      <c r="E145" s="19">
        <v>8.25</v>
      </c>
      <c r="F145" s="19">
        <v>9.6999999999999993</v>
      </c>
      <c r="G145" s="19">
        <v>31.8</v>
      </c>
      <c r="H145" s="19">
        <v>247.5</v>
      </c>
    </row>
    <row r="146" spans="1:8" ht="18" customHeight="1" x14ac:dyDescent="0.3">
      <c r="A146" s="93">
        <v>108</v>
      </c>
      <c r="B146" s="94" t="s">
        <v>105</v>
      </c>
      <c r="C146" s="60">
        <v>90</v>
      </c>
      <c r="D146" s="21">
        <f>44.15-5.55+0.48+2.45-10.27+7.38+1.32</f>
        <v>39.96</v>
      </c>
      <c r="E146" s="31">
        <v>6.9</v>
      </c>
      <c r="F146" s="31">
        <f>10.1-2.6</f>
        <v>7.5</v>
      </c>
      <c r="G146" s="31">
        <v>8.6999999999999993</v>
      </c>
      <c r="H146" s="31">
        <v>129.9</v>
      </c>
    </row>
    <row r="147" spans="1:8" ht="18" customHeight="1" x14ac:dyDescent="0.3">
      <c r="A147" s="48" t="s">
        <v>37</v>
      </c>
      <c r="B147" s="96" t="s">
        <v>93</v>
      </c>
      <c r="C147" s="29">
        <v>180</v>
      </c>
      <c r="D147" s="21">
        <v>15.18</v>
      </c>
      <c r="E147" s="19">
        <f>12.72-6.81</f>
        <v>5.910000000000001</v>
      </c>
      <c r="F147" s="19">
        <v>8.16</v>
      </c>
      <c r="G147" s="19">
        <f>30.36-5.15</f>
        <v>25.21</v>
      </c>
      <c r="H147" s="19">
        <v>197.92</v>
      </c>
    </row>
    <row r="148" spans="1:8" ht="18" customHeight="1" x14ac:dyDescent="0.3">
      <c r="A148" s="45">
        <v>300</v>
      </c>
      <c r="B148" s="25" t="s">
        <v>26</v>
      </c>
      <c r="C148" s="51">
        <v>200</v>
      </c>
      <c r="D148" s="21">
        <v>3.52</v>
      </c>
      <c r="E148" s="4">
        <v>0.1</v>
      </c>
      <c r="F148" s="4">
        <v>0</v>
      </c>
      <c r="G148" s="4">
        <v>20.2</v>
      </c>
      <c r="H148" s="4">
        <v>81.2</v>
      </c>
    </row>
    <row r="149" spans="1:8" ht="18" customHeight="1" x14ac:dyDescent="0.3">
      <c r="A149" s="48" t="s">
        <v>36</v>
      </c>
      <c r="B149" s="4" t="s">
        <v>4</v>
      </c>
      <c r="C149" s="51">
        <v>30</v>
      </c>
      <c r="D149" s="21">
        <v>2.76</v>
      </c>
      <c r="E149" s="2">
        <f>6.6/100*30</f>
        <v>1.98</v>
      </c>
      <c r="F149" s="52">
        <f>1.2/100*30</f>
        <v>0.36</v>
      </c>
      <c r="G149" s="2">
        <f>33.4/100*30</f>
        <v>10.02</v>
      </c>
      <c r="H149" s="2">
        <v>51.24</v>
      </c>
    </row>
    <row r="150" spans="1:8" ht="18" customHeight="1" x14ac:dyDescent="0.3">
      <c r="A150" s="45"/>
      <c r="B150" s="9" t="s">
        <v>21</v>
      </c>
      <c r="C150" s="50">
        <f t="shared" ref="C150:H150" si="17">SUM(C145:C149)</f>
        <v>700</v>
      </c>
      <c r="D150" s="75">
        <f t="shared" si="17"/>
        <v>74.17</v>
      </c>
      <c r="E150" s="75">
        <f t="shared" si="17"/>
        <v>23.140000000000004</v>
      </c>
      <c r="F150" s="75">
        <f t="shared" si="17"/>
        <v>25.72</v>
      </c>
      <c r="G150" s="75">
        <f t="shared" si="17"/>
        <v>95.93</v>
      </c>
      <c r="H150" s="75">
        <f t="shared" si="17"/>
        <v>707.76</v>
      </c>
    </row>
    <row r="151" spans="1:8" ht="18" customHeight="1" x14ac:dyDescent="0.3">
      <c r="A151" s="45"/>
      <c r="B151" s="9"/>
      <c r="C151" s="50"/>
      <c r="D151" s="35"/>
      <c r="E151" s="5">
        <f>E142+E150</f>
        <v>38.011923076923082</v>
      </c>
      <c r="F151" s="5">
        <f>F142+F150</f>
        <v>41.521538461538462</v>
      </c>
      <c r="G151" s="5">
        <f>G142+G150</f>
        <v>162.93115384615385</v>
      </c>
      <c r="H151" s="5">
        <f>H142+H150</f>
        <v>1177.52</v>
      </c>
    </row>
    <row r="152" spans="1:8" ht="18" customHeight="1" x14ac:dyDescent="0.25">
      <c r="A152" s="121" t="s">
        <v>46</v>
      </c>
      <c r="B152" s="122"/>
      <c r="C152" s="53"/>
      <c r="D152" s="23"/>
      <c r="E152" s="23"/>
      <c r="F152" s="23"/>
      <c r="G152" s="23"/>
      <c r="H152" s="23"/>
    </row>
    <row r="153" spans="1:8" ht="18" customHeight="1" x14ac:dyDescent="0.25">
      <c r="A153" s="117" t="s">
        <v>11</v>
      </c>
      <c r="B153" s="117"/>
      <c r="C153" s="44"/>
      <c r="D153" s="36"/>
      <c r="E153" s="18"/>
      <c r="F153" s="18"/>
      <c r="G153" s="18"/>
      <c r="H153" s="18"/>
    </row>
    <row r="154" spans="1:8" ht="18" customHeight="1" x14ac:dyDescent="0.3">
      <c r="A154" s="93">
        <v>227</v>
      </c>
      <c r="B154" s="1" t="s">
        <v>20</v>
      </c>
      <c r="C154" s="57">
        <v>150</v>
      </c>
      <c r="D154" s="21">
        <v>9.49</v>
      </c>
      <c r="E154" s="31">
        <v>7.1253333333333337</v>
      </c>
      <c r="F154" s="31">
        <v>7.69</v>
      </c>
      <c r="G154" s="31">
        <f>38.208-16.8</f>
        <v>21.407999999999998</v>
      </c>
      <c r="H154" s="31">
        <v>183.34</v>
      </c>
    </row>
    <row r="155" spans="1:8" ht="18" customHeight="1" x14ac:dyDescent="0.3">
      <c r="A155" s="45">
        <v>136</v>
      </c>
      <c r="B155" s="25" t="s">
        <v>104</v>
      </c>
      <c r="C155" s="57">
        <v>100</v>
      </c>
      <c r="D155" s="41">
        <v>46.02</v>
      </c>
      <c r="E155" s="21">
        <v>4.5</v>
      </c>
      <c r="F155" s="21">
        <v>6.3</v>
      </c>
      <c r="G155" s="21">
        <v>7.9</v>
      </c>
      <c r="H155" s="21">
        <v>106.3</v>
      </c>
    </row>
    <row r="156" spans="1:8" ht="18" customHeight="1" x14ac:dyDescent="0.3">
      <c r="A156" s="45">
        <v>300</v>
      </c>
      <c r="B156" s="25" t="s">
        <v>26</v>
      </c>
      <c r="C156" s="51">
        <v>200</v>
      </c>
      <c r="D156" s="21">
        <v>3.52</v>
      </c>
      <c r="E156" s="4">
        <v>0.1</v>
      </c>
      <c r="F156" s="4">
        <v>0</v>
      </c>
      <c r="G156" s="4">
        <v>20.2</v>
      </c>
      <c r="H156" s="4">
        <v>81.2</v>
      </c>
    </row>
    <row r="157" spans="1:8" ht="18" customHeight="1" x14ac:dyDescent="0.3">
      <c r="A157" s="48" t="s">
        <v>111</v>
      </c>
      <c r="B157" s="2" t="s">
        <v>103</v>
      </c>
      <c r="C157" s="29">
        <v>20</v>
      </c>
      <c r="D157" s="21">
        <v>12.02</v>
      </c>
      <c r="E157" s="16">
        <v>1.8</v>
      </c>
      <c r="F157" s="16">
        <v>3</v>
      </c>
      <c r="G157" s="16">
        <v>2</v>
      </c>
      <c r="H157" s="74">
        <v>42.2</v>
      </c>
    </row>
    <row r="158" spans="1:8" ht="18" customHeight="1" x14ac:dyDescent="0.3">
      <c r="A158" s="48" t="s">
        <v>35</v>
      </c>
      <c r="B158" s="4" t="s">
        <v>0</v>
      </c>
      <c r="C158" s="51">
        <v>30</v>
      </c>
      <c r="D158" s="21">
        <v>3.12</v>
      </c>
      <c r="E158" s="4">
        <f>7.9/100*30</f>
        <v>2.37</v>
      </c>
      <c r="F158" s="4">
        <f>1/100*30</f>
        <v>0.3</v>
      </c>
      <c r="G158" s="4">
        <f>48.3/100*30</f>
        <v>14.49</v>
      </c>
      <c r="H158" s="4">
        <v>70.14</v>
      </c>
    </row>
    <row r="159" spans="1:8" ht="18" customHeight="1" x14ac:dyDescent="0.3">
      <c r="A159" s="47"/>
      <c r="B159" s="9" t="s">
        <v>21</v>
      </c>
      <c r="C159" s="50">
        <f t="shared" ref="C159:H159" si="18">SUM(C154:C158)</f>
        <v>500</v>
      </c>
      <c r="D159" s="6">
        <f t="shared" si="18"/>
        <v>74.170000000000016</v>
      </c>
      <c r="E159" s="5">
        <f t="shared" si="18"/>
        <v>15.895333333333333</v>
      </c>
      <c r="F159" s="5">
        <f t="shared" si="18"/>
        <v>17.290000000000003</v>
      </c>
      <c r="G159" s="5">
        <f t="shared" si="18"/>
        <v>65.99799999999999</v>
      </c>
      <c r="H159" s="5">
        <f t="shared" si="18"/>
        <v>483.17999999999995</v>
      </c>
    </row>
    <row r="160" spans="1:8" ht="18" customHeight="1" x14ac:dyDescent="0.25">
      <c r="A160" s="115" t="s">
        <v>10</v>
      </c>
      <c r="B160" s="116"/>
      <c r="C160" s="54"/>
      <c r="D160" s="36"/>
      <c r="E160" s="18"/>
      <c r="F160" s="18"/>
      <c r="G160" s="18"/>
      <c r="H160" s="18"/>
    </row>
    <row r="161" spans="1:8" ht="18" customHeight="1" x14ac:dyDescent="0.3">
      <c r="A161" s="45">
        <v>65</v>
      </c>
      <c r="B161" s="110" t="s">
        <v>30</v>
      </c>
      <c r="C161" s="56">
        <v>230</v>
      </c>
      <c r="D161" s="41">
        <v>10.81</v>
      </c>
      <c r="E161" s="13">
        <v>6.7160000000000002</v>
      </c>
      <c r="F161" s="13">
        <v>6.8080000000000007</v>
      </c>
      <c r="G161" s="13">
        <v>25.576000000000001</v>
      </c>
      <c r="H161" s="13">
        <v>190.44</v>
      </c>
    </row>
    <row r="162" spans="1:8" ht="18" customHeight="1" x14ac:dyDescent="0.3">
      <c r="A162" s="93">
        <v>110</v>
      </c>
      <c r="B162" s="103" t="s">
        <v>125</v>
      </c>
      <c r="C162" s="29">
        <v>90</v>
      </c>
      <c r="D162" s="38">
        <f>40.96+8.12+2</f>
        <v>51.08</v>
      </c>
      <c r="E162" s="31">
        <v>6.9</v>
      </c>
      <c r="F162" s="31">
        <v>10.1</v>
      </c>
      <c r="G162" s="31">
        <v>8.6999999999999993</v>
      </c>
      <c r="H162" s="31">
        <v>153.30000000000001</v>
      </c>
    </row>
    <row r="163" spans="1:8" ht="18" customHeight="1" x14ac:dyDescent="0.3">
      <c r="A163" s="45">
        <v>227</v>
      </c>
      <c r="B163" s="32" t="s">
        <v>33</v>
      </c>
      <c r="C163" s="60">
        <v>150</v>
      </c>
      <c r="D163" s="41">
        <v>6</v>
      </c>
      <c r="E163" s="31">
        <v>6.6666666666666696</v>
      </c>
      <c r="F163" s="31">
        <v>5.8666666666666671</v>
      </c>
      <c r="G163" s="31">
        <f>53.3333333333333-28</f>
        <v>25.3333333333333</v>
      </c>
      <c r="H163" s="31">
        <v>180.8</v>
      </c>
    </row>
    <row r="164" spans="1:8" ht="15.6" x14ac:dyDescent="0.3">
      <c r="A164" s="45">
        <v>300</v>
      </c>
      <c r="B164" s="98" t="s">
        <v>26</v>
      </c>
      <c r="C164" s="51">
        <v>200</v>
      </c>
      <c r="D164" s="21">
        <v>3.52</v>
      </c>
      <c r="E164" s="4">
        <v>0.1</v>
      </c>
      <c r="F164" s="4">
        <v>0</v>
      </c>
      <c r="G164" s="4">
        <v>20.2</v>
      </c>
      <c r="H164" s="4">
        <v>81.2</v>
      </c>
    </row>
    <row r="165" spans="1:8" ht="15.6" x14ac:dyDescent="0.3">
      <c r="A165" s="48" t="s">
        <v>36</v>
      </c>
      <c r="B165" s="96" t="s">
        <v>4</v>
      </c>
      <c r="C165" s="51">
        <v>30</v>
      </c>
      <c r="D165" s="21">
        <v>2.76</v>
      </c>
      <c r="E165" s="2">
        <f>6.6/100*30</f>
        <v>1.98</v>
      </c>
      <c r="F165" s="52">
        <f>1.2/100*30</f>
        <v>0.36</v>
      </c>
      <c r="G165" s="2">
        <f>33.4/100*30</f>
        <v>10.02</v>
      </c>
      <c r="H165" s="2">
        <v>51.24</v>
      </c>
    </row>
    <row r="166" spans="1:8" ht="15.6" x14ac:dyDescent="0.3">
      <c r="A166" s="47"/>
      <c r="B166" s="9" t="s">
        <v>21</v>
      </c>
      <c r="C166" s="50">
        <f t="shared" ref="C166:H166" si="19">SUM(C161:C165)</f>
        <v>700</v>
      </c>
      <c r="D166" s="75">
        <f t="shared" si="19"/>
        <v>74.17</v>
      </c>
      <c r="E166" s="75">
        <f t="shared" si="19"/>
        <v>22.362666666666673</v>
      </c>
      <c r="F166" s="75">
        <f t="shared" si="19"/>
        <v>23.134666666666668</v>
      </c>
      <c r="G166" s="75">
        <f t="shared" si="19"/>
        <v>89.829333333333295</v>
      </c>
      <c r="H166" s="75">
        <f t="shared" si="19"/>
        <v>656.98</v>
      </c>
    </row>
    <row r="167" spans="1:8" ht="15.6" x14ac:dyDescent="0.3">
      <c r="A167" s="47"/>
      <c r="B167" s="12" t="s">
        <v>8</v>
      </c>
      <c r="C167" s="50"/>
      <c r="D167" s="35"/>
      <c r="E167" s="6">
        <f>E159+E166</f>
        <v>38.25800000000001</v>
      </c>
      <c r="F167" s="6">
        <f>F159+F166</f>
        <v>40.424666666666667</v>
      </c>
      <c r="G167" s="6">
        <f>G159+G166</f>
        <v>155.82733333333329</v>
      </c>
      <c r="H167" s="6">
        <f>H159+H166</f>
        <v>1140.1599999999999</v>
      </c>
    </row>
    <row r="168" spans="1:8" ht="15.6" x14ac:dyDescent="0.25">
      <c r="A168" s="66"/>
      <c r="B168" s="118" t="s">
        <v>40</v>
      </c>
      <c r="C168" s="118"/>
      <c r="D168" s="6"/>
      <c r="E168" s="6">
        <f>E22+E40+E56+E72+E88+E104+E119+E135+E151+E167</f>
        <v>416.41690645773986</v>
      </c>
      <c r="F168" s="6">
        <f>F22+F40+F56+F72+F88+F104+F119+F135+F151+F167</f>
        <v>430.81894491927818</v>
      </c>
      <c r="G168" s="6">
        <f>G22+G40+G56+G72+G88+G104+G119+G135+G151+G167</f>
        <v>1720.7050451092118</v>
      </c>
      <c r="H168" s="6">
        <f>H22+H40+H56+H72+H88+H104+H119+H135+H151+H167</f>
        <v>12439.866666666669</v>
      </c>
    </row>
    <row r="169" spans="1:8" ht="15.6" x14ac:dyDescent="0.3">
      <c r="A169" s="66"/>
      <c r="B169" s="119" t="s">
        <v>41</v>
      </c>
      <c r="C169" s="119"/>
      <c r="D169" s="67"/>
      <c r="E169" s="6">
        <f>E168/10</f>
        <v>41.641690645773984</v>
      </c>
      <c r="F169" s="6">
        <f>F168/10</f>
        <v>43.08189449192782</v>
      </c>
      <c r="G169" s="6">
        <f>G168/10</f>
        <v>172.07050451092118</v>
      </c>
      <c r="H169" s="6">
        <f>H168/10</f>
        <v>1243.9866666666669</v>
      </c>
    </row>
    <row r="171" spans="1:8" x14ac:dyDescent="0.25">
      <c r="E171" s="40"/>
      <c r="F171" s="40"/>
      <c r="G171" s="40"/>
      <c r="H171" s="40"/>
    </row>
  </sheetData>
  <mergeCells count="42">
    <mergeCell ref="B1:G2"/>
    <mergeCell ref="A3:A7"/>
    <mergeCell ref="B3:B7"/>
    <mergeCell ref="C3:C7"/>
    <mergeCell ref="D3:D7"/>
    <mergeCell ref="F5:F7"/>
    <mergeCell ref="G5:G7"/>
    <mergeCell ref="H3:H7"/>
    <mergeCell ref="A8:B8"/>
    <mergeCell ref="A24:B24"/>
    <mergeCell ref="A41:B41"/>
    <mergeCell ref="A57:B57"/>
    <mergeCell ref="A152:B152"/>
    <mergeCell ref="E3:G4"/>
    <mergeCell ref="E5:E7"/>
    <mergeCell ref="A89:B89"/>
    <mergeCell ref="A120:B120"/>
    <mergeCell ref="B168:C168"/>
    <mergeCell ref="B169:C169"/>
    <mergeCell ref="A9:B9"/>
    <mergeCell ref="A14:B14"/>
    <mergeCell ref="A25:B25"/>
    <mergeCell ref="A32:B32"/>
    <mergeCell ref="A42:B42"/>
    <mergeCell ref="A105:B105"/>
    <mergeCell ref="A73:B73"/>
    <mergeCell ref="A74:B74"/>
    <mergeCell ref="A160:B160"/>
    <mergeCell ref="A106:B106"/>
    <mergeCell ref="A112:B112"/>
    <mergeCell ref="A121:B121"/>
    <mergeCell ref="A127:B127"/>
    <mergeCell ref="A137:B137"/>
    <mergeCell ref="A144:B144"/>
    <mergeCell ref="A136:B136"/>
    <mergeCell ref="A48:B48"/>
    <mergeCell ref="A58:B58"/>
    <mergeCell ref="A64:B64"/>
    <mergeCell ref="A153:B153"/>
    <mergeCell ref="A81:B81"/>
    <mergeCell ref="A90:B90"/>
    <mergeCell ref="A97:B97"/>
  </mergeCells>
  <pageMargins left="0.19685039370078741" right="0" top="0.35433070866141736" bottom="0.55118110236220474" header="0.31496062992125984" footer="0.31496062992125984"/>
  <pageSetup paperSize="9" orientation="landscape" r:id="rId1"/>
  <rowBreaks count="9" manualBreakCount="9">
    <brk id="23" max="16383" man="1"/>
    <brk id="40" max="16383" man="1"/>
    <brk id="56" max="16383" man="1"/>
    <brk id="70" max="16383" man="1"/>
    <brk id="86" max="16383" man="1"/>
    <brk id="102" max="16383" man="1"/>
    <brk id="117" max="16383" man="1"/>
    <brk id="133" max="16383" man="1"/>
    <brk id="14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33"/>
  <sheetViews>
    <sheetView workbookViewId="0">
      <selection activeCell="A32" sqref="A32"/>
    </sheetView>
  </sheetViews>
  <sheetFormatPr defaultRowHeight="13.2" x14ac:dyDescent="0.25"/>
  <cols>
    <col min="1" max="1" width="17.44140625" bestFit="1" customWidth="1"/>
  </cols>
  <sheetData>
    <row r="2" spans="1:20" x14ac:dyDescent="0.25">
      <c r="A2" t="s">
        <v>9</v>
      </c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67</v>
      </c>
      <c r="L2" t="s">
        <v>68</v>
      </c>
      <c r="M2" t="s">
        <v>66</v>
      </c>
      <c r="N2" t="s">
        <v>71</v>
      </c>
      <c r="O2" t="s">
        <v>72</v>
      </c>
      <c r="P2" t="s">
        <v>65</v>
      </c>
      <c r="Q2" t="s">
        <v>63</v>
      </c>
      <c r="R2" t="s">
        <v>73</v>
      </c>
      <c r="S2" t="s">
        <v>75</v>
      </c>
      <c r="T2" t="s">
        <v>78</v>
      </c>
    </row>
    <row r="3" spans="1:20" x14ac:dyDescent="0.25">
      <c r="A3" s="79" t="s">
        <v>52</v>
      </c>
      <c r="B3" s="79">
        <v>2</v>
      </c>
      <c r="C3" s="79">
        <v>1</v>
      </c>
      <c r="D3" s="79"/>
      <c r="E3" s="79">
        <v>9</v>
      </c>
      <c r="F3" s="79">
        <v>3</v>
      </c>
      <c r="G3" s="79">
        <v>1</v>
      </c>
      <c r="H3" s="79">
        <v>3</v>
      </c>
      <c r="I3" s="79"/>
      <c r="J3" s="79">
        <v>1</v>
      </c>
      <c r="K3" s="79">
        <v>2</v>
      </c>
      <c r="L3" s="79">
        <v>1</v>
      </c>
      <c r="M3" s="79">
        <v>2</v>
      </c>
      <c r="N3" s="79">
        <v>2</v>
      </c>
      <c r="O3" s="79"/>
      <c r="P3" s="79">
        <v>1</v>
      </c>
      <c r="Q3" s="79">
        <v>1</v>
      </c>
      <c r="R3" s="79">
        <v>1</v>
      </c>
      <c r="S3" s="79"/>
    </row>
    <row r="4" spans="1:20" x14ac:dyDescent="0.25">
      <c r="A4" s="79" t="s">
        <v>53</v>
      </c>
      <c r="B4" s="79">
        <v>1</v>
      </c>
      <c r="C4" s="79">
        <v>2</v>
      </c>
      <c r="D4" s="79"/>
      <c r="E4" s="79">
        <v>5</v>
      </c>
      <c r="F4" s="79"/>
      <c r="G4" s="79">
        <v>3</v>
      </c>
      <c r="H4" s="79">
        <v>3</v>
      </c>
      <c r="I4" s="79"/>
      <c r="J4" s="79">
        <v>2</v>
      </c>
      <c r="K4" s="79">
        <v>2</v>
      </c>
      <c r="L4" s="79"/>
      <c r="M4" s="79">
        <v>3</v>
      </c>
      <c r="N4" s="79">
        <v>1</v>
      </c>
      <c r="O4" s="79">
        <v>1</v>
      </c>
      <c r="P4" s="79">
        <v>1</v>
      </c>
      <c r="Q4" s="79">
        <v>2</v>
      </c>
      <c r="R4" s="79"/>
      <c r="S4" s="79">
        <v>1</v>
      </c>
    </row>
    <row r="5" spans="1:20" x14ac:dyDescent="0.25">
      <c r="A5" s="79" t="s">
        <v>90</v>
      </c>
      <c r="B5" s="79">
        <v>4</v>
      </c>
      <c r="C5" s="79">
        <v>3</v>
      </c>
      <c r="D5" s="79"/>
      <c r="E5" s="79">
        <v>5</v>
      </c>
      <c r="F5" s="79">
        <v>7</v>
      </c>
      <c r="G5" s="79">
        <v>2</v>
      </c>
      <c r="H5" s="79"/>
      <c r="I5" s="79">
        <v>1</v>
      </c>
      <c r="J5" s="79">
        <v>2</v>
      </c>
      <c r="K5" s="79">
        <v>2</v>
      </c>
      <c r="L5" s="79"/>
      <c r="M5" s="79">
        <v>1</v>
      </c>
      <c r="N5" s="79">
        <v>1</v>
      </c>
      <c r="O5" s="79"/>
      <c r="P5" s="79"/>
      <c r="Q5" s="79"/>
      <c r="R5" s="79">
        <v>1</v>
      </c>
      <c r="S5" s="79">
        <v>1</v>
      </c>
    </row>
    <row r="6" spans="1:20" ht="15.6" x14ac:dyDescent="0.3">
      <c r="A6" s="85" t="s">
        <v>77</v>
      </c>
      <c r="B6" s="85">
        <v>2</v>
      </c>
      <c r="C6" s="85">
        <v>1</v>
      </c>
      <c r="D6" s="85">
        <v>1</v>
      </c>
      <c r="E6" s="85">
        <v>5</v>
      </c>
      <c r="F6" s="85">
        <v>2</v>
      </c>
      <c r="G6" s="85">
        <v>3</v>
      </c>
      <c r="H6" s="85">
        <v>2</v>
      </c>
      <c r="I6" s="85"/>
      <c r="J6" s="85"/>
      <c r="K6" s="85">
        <v>2</v>
      </c>
      <c r="L6" s="85"/>
      <c r="M6" s="85">
        <v>1</v>
      </c>
      <c r="N6" s="85"/>
      <c r="O6" s="85">
        <v>1</v>
      </c>
      <c r="P6" s="85"/>
      <c r="Q6" s="85"/>
      <c r="R6" s="85">
        <v>1</v>
      </c>
      <c r="S6" s="85"/>
    </row>
    <row r="8" spans="1:20" x14ac:dyDescent="0.25">
      <c r="A8" t="s">
        <v>49</v>
      </c>
      <c r="B8" t="s">
        <v>62</v>
      </c>
      <c r="C8" t="s">
        <v>63</v>
      </c>
      <c r="D8" t="s">
        <v>64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65</v>
      </c>
      <c r="K8" t="s">
        <v>66</v>
      </c>
      <c r="L8" t="s">
        <v>69</v>
      </c>
      <c r="M8" t="s">
        <v>70</v>
      </c>
      <c r="N8" t="s">
        <v>74</v>
      </c>
      <c r="O8" t="s">
        <v>76</v>
      </c>
      <c r="P8" t="s">
        <v>73</v>
      </c>
    </row>
    <row r="9" spans="1:20" x14ac:dyDescent="0.25">
      <c r="A9" s="79" t="s">
        <v>52</v>
      </c>
      <c r="B9" s="79">
        <v>8</v>
      </c>
      <c r="C9" s="79">
        <v>3</v>
      </c>
      <c r="D9" s="79">
        <v>1</v>
      </c>
      <c r="E9" s="79"/>
      <c r="F9" s="79">
        <v>1</v>
      </c>
      <c r="G9" s="79">
        <v>3</v>
      </c>
      <c r="H9" s="79">
        <v>3</v>
      </c>
      <c r="I9" s="79">
        <v>2</v>
      </c>
      <c r="J9" s="79">
        <v>2</v>
      </c>
      <c r="K9" s="79">
        <v>2</v>
      </c>
      <c r="L9" s="79">
        <v>1</v>
      </c>
      <c r="M9" s="79">
        <v>1</v>
      </c>
      <c r="N9" s="79"/>
      <c r="O9" s="79"/>
      <c r="P9" s="79"/>
      <c r="Q9" s="79"/>
      <c r="R9" s="79"/>
      <c r="S9" s="79"/>
    </row>
    <row r="10" spans="1:20" x14ac:dyDescent="0.25">
      <c r="A10" s="79" t="s">
        <v>53</v>
      </c>
      <c r="B10" s="79">
        <v>3</v>
      </c>
      <c r="C10" s="79">
        <v>1</v>
      </c>
      <c r="D10" s="79">
        <v>2</v>
      </c>
      <c r="E10" s="79">
        <v>3</v>
      </c>
      <c r="F10" s="79">
        <v>6</v>
      </c>
      <c r="G10" s="79">
        <v>1</v>
      </c>
      <c r="H10" s="79">
        <v>5</v>
      </c>
      <c r="I10" s="79">
        <v>2</v>
      </c>
      <c r="J10" s="79">
        <v>3</v>
      </c>
      <c r="K10" s="79">
        <v>1</v>
      </c>
      <c r="L10" s="79">
        <v>1</v>
      </c>
      <c r="M10" s="79"/>
      <c r="N10" s="79">
        <v>1</v>
      </c>
      <c r="O10" s="79">
        <v>1</v>
      </c>
      <c r="P10" s="79"/>
      <c r="Q10" s="79"/>
      <c r="R10" s="79"/>
      <c r="S10" s="79"/>
    </row>
    <row r="11" spans="1:20" x14ac:dyDescent="0.25">
      <c r="A11" s="79" t="s">
        <v>90</v>
      </c>
      <c r="B11" s="79">
        <v>8</v>
      </c>
      <c r="C11" s="79"/>
      <c r="D11" s="79"/>
      <c r="E11" s="79"/>
      <c r="F11" s="79">
        <v>3</v>
      </c>
      <c r="G11" s="79">
        <v>3</v>
      </c>
      <c r="H11" s="79">
        <v>5</v>
      </c>
      <c r="I11" s="79">
        <v>1</v>
      </c>
      <c r="J11" s="79">
        <v>1</v>
      </c>
      <c r="K11" s="79">
        <v>2</v>
      </c>
      <c r="L11" s="79">
        <v>1</v>
      </c>
      <c r="M11" s="79">
        <v>1</v>
      </c>
      <c r="N11" s="79"/>
      <c r="O11" s="79">
        <v>1</v>
      </c>
      <c r="P11" s="79">
        <v>2</v>
      </c>
      <c r="Q11" s="79">
        <v>1</v>
      </c>
      <c r="R11" s="79"/>
      <c r="S11" s="79">
        <v>2</v>
      </c>
    </row>
    <row r="12" spans="1:20" ht="15.6" x14ac:dyDescent="0.3">
      <c r="A12" s="85" t="s">
        <v>77</v>
      </c>
      <c r="B12" s="85">
        <v>5</v>
      </c>
      <c r="C12" s="85"/>
      <c r="D12" s="85"/>
      <c r="E12" s="85">
        <v>3</v>
      </c>
      <c r="F12" s="85">
        <v>2</v>
      </c>
      <c r="G12" s="85">
        <v>3</v>
      </c>
      <c r="H12" s="85">
        <v>2</v>
      </c>
      <c r="I12" s="85">
        <v>2</v>
      </c>
      <c r="J12" s="85"/>
      <c r="K12" s="85"/>
      <c r="L12" s="85"/>
      <c r="M12" s="85">
        <v>1</v>
      </c>
      <c r="N12" s="85"/>
      <c r="O12" s="85"/>
      <c r="P12" s="85">
        <v>1</v>
      </c>
      <c r="Q12" s="85"/>
      <c r="R12" s="85"/>
      <c r="S12" s="85"/>
    </row>
    <row r="18" spans="1:11" ht="39.6" x14ac:dyDescent="0.25">
      <c r="A18" s="80" t="s">
        <v>9</v>
      </c>
      <c r="B18" s="78" t="s">
        <v>98</v>
      </c>
      <c r="C18" s="78" t="s">
        <v>95</v>
      </c>
      <c r="D18" s="78" t="s">
        <v>94</v>
      </c>
      <c r="E18" s="78" t="s">
        <v>96</v>
      </c>
      <c r="F18" s="78" t="s">
        <v>97</v>
      </c>
      <c r="G18" s="78"/>
      <c r="H18" s="78"/>
      <c r="I18" s="78"/>
      <c r="J18" s="78"/>
      <c r="K18" s="78"/>
    </row>
    <row r="19" spans="1:11" x14ac:dyDescent="0.25">
      <c r="A19" s="79" t="s">
        <v>79</v>
      </c>
      <c r="B19" s="79">
        <v>1</v>
      </c>
      <c r="C19" s="79">
        <v>7.0000000000000007E-2</v>
      </c>
      <c r="D19" s="79">
        <v>4700</v>
      </c>
      <c r="E19" s="79">
        <f t="shared" ref="E19:E25" si="0">C19*D19</f>
        <v>329.00000000000006</v>
      </c>
      <c r="F19" s="79">
        <f>E19*2</f>
        <v>658.00000000000011</v>
      </c>
      <c r="G19" s="79"/>
      <c r="H19" s="79"/>
      <c r="I19" s="79"/>
      <c r="J19" s="79"/>
      <c r="K19" s="79"/>
    </row>
    <row r="20" spans="1:11" x14ac:dyDescent="0.25">
      <c r="A20" s="79" t="s">
        <v>91</v>
      </c>
      <c r="B20" s="79">
        <v>1</v>
      </c>
      <c r="C20" s="79">
        <v>7.0000000000000007E-2</v>
      </c>
      <c r="D20" s="79">
        <v>4700</v>
      </c>
      <c r="E20" s="79">
        <f t="shared" si="0"/>
        <v>329.00000000000006</v>
      </c>
      <c r="F20" s="79">
        <f t="shared" ref="F20:F25" si="1">E20*2</f>
        <v>658.00000000000011</v>
      </c>
      <c r="G20" s="79"/>
      <c r="H20" s="79"/>
      <c r="I20" s="79"/>
      <c r="J20" s="79"/>
      <c r="K20" s="79"/>
    </row>
    <row r="21" spans="1:11" x14ac:dyDescent="0.25">
      <c r="A21" s="79" t="s">
        <v>80</v>
      </c>
      <c r="B21" s="79">
        <v>1</v>
      </c>
      <c r="C21" s="79">
        <v>7.0000000000000007E-2</v>
      </c>
      <c r="D21" s="79">
        <v>4700</v>
      </c>
      <c r="E21" s="79">
        <f t="shared" si="0"/>
        <v>329.00000000000006</v>
      </c>
      <c r="F21" s="79">
        <f t="shared" si="1"/>
        <v>658.00000000000011</v>
      </c>
      <c r="G21" s="79">
        <v>2</v>
      </c>
      <c r="H21" s="79">
        <f>F21*G21</f>
        <v>1316.0000000000002</v>
      </c>
      <c r="I21" s="79"/>
      <c r="J21" s="79"/>
      <c r="K21" s="79">
        <v>0.13</v>
      </c>
    </row>
    <row r="22" spans="1:11" x14ac:dyDescent="0.25">
      <c r="A22" s="79" t="s">
        <v>83</v>
      </c>
      <c r="B22" s="79">
        <v>2</v>
      </c>
      <c r="C22" s="79">
        <v>2.5000000000000001E-2</v>
      </c>
      <c r="D22" s="79">
        <f>D21*2</f>
        <v>9400</v>
      </c>
      <c r="E22" s="79">
        <f t="shared" si="0"/>
        <v>235</v>
      </c>
      <c r="F22" s="79">
        <f t="shared" si="1"/>
        <v>470</v>
      </c>
      <c r="G22" s="79"/>
      <c r="H22" s="79"/>
      <c r="I22" s="79"/>
      <c r="J22" s="79"/>
      <c r="K22" s="79"/>
    </row>
    <row r="23" spans="1:11" x14ac:dyDescent="0.25">
      <c r="A23" s="79" t="s">
        <v>99</v>
      </c>
      <c r="B23" s="79">
        <v>1</v>
      </c>
      <c r="C23" s="79">
        <v>0.12</v>
      </c>
      <c r="D23" s="79">
        <v>4700</v>
      </c>
      <c r="E23" s="79">
        <f t="shared" si="0"/>
        <v>564</v>
      </c>
      <c r="F23" s="79">
        <f t="shared" si="1"/>
        <v>1128</v>
      </c>
      <c r="G23" s="79"/>
      <c r="H23" s="79"/>
      <c r="I23" s="79"/>
      <c r="J23" s="79"/>
      <c r="K23" s="79"/>
    </row>
    <row r="24" spans="1:11" x14ac:dyDescent="0.25">
      <c r="A24" s="79" t="s">
        <v>100</v>
      </c>
      <c r="B24" s="79">
        <v>1</v>
      </c>
      <c r="C24" s="79">
        <v>0.13</v>
      </c>
      <c r="D24" s="79">
        <v>4700</v>
      </c>
      <c r="E24" s="79">
        <f t="shared" si="0"/>
        <v>611</v>
      </c>
      <c r="F24" s="79">
        <f t="shared" si="1"/>
        <v>1222</v>
      </c>
      <c r="G24" s="79"/>
      <c r="H24" s="79"/>
      <c r="I24" s="79"/>
      <c r="J24" s="79"/>
      <c r="K24" s="79"/>
    </row>
    <row r="25" spans="1:11" x14ac:dyDescent="0.25">
      <c r="A25" s="79" t="s">
        <v>101</v>
      </c>
      <c r="B25" s="79">
        <v>1</v>
      </c>
      <c r="C25" s="79">
        <v>0.08</v>
      </c>
      <c r="D25" s="79">
        <v>4700</v>
      </c>
      <c r="E25" s="79">
        <f t="shared" si="0"/>
        <v>376</v>
      </c>
      <c r="F25" s="79">
        <f t="shared" si="1"/>
        <v>752</v>
      </c>
      <c r="G25" s="79"/>
      <c r="H25" s="79"/>
      <c r="I25" s="79"/>
      <c r="J25" s="79"/>
      <c r="K25" s="79"/>
    </row>
    <row r="26" spans="1:11" x14ac:dyDescent="0.25">
      <c r="A26" s="80" t="s">
        <v>49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</row>
    <row r="27" spans="1:11" x14ac:dyDescent="0.25">
      <c r="A27" s="79" t="s">
        <v>81</v>
      </c>
      <c r="B27" s="79">
        <v>1</v>
      </c>
      <c r="C27" s="79">
        <v>7.0000000000000007E-2</v>
      </c>
      <c r="D27" s="79">
        <v>2049</v>
      </c>
      <c r="E27" s="79">
        <f>C27*D27</f>
        <v>143.43</v>
      </c>
      <c r="F27" s="79">
        <f>E27*2</f>
        <v>286.86</v>
      </c>
      <c r="G27" s="79"/>
      <c r="H27" s="79">
        <v>400</v>
      </c>
      <c r="I27" s="79"/>
      <c r="J27" s="79"/>
      <c r="K27" s="79"/>
    </row>
    <row r="28" spans="1:11" x14ac:dyDescent="0.25">
      <c r="A28" s="79" t="s">
        <v>92</v>
      </c>
      <c r="B28" s="79">
        <v>1</v>
      </c>
      <c r="C28" s="79">
        <v>7.0000000000000007E-2</v>
      </c>
      <c r="D28" s="79">
        <v>2049</v>
      </c>
      <c r="E28" s="79">
        <f>C28*D28</f>
        <v>143.43</v>
      </c>
      <c r="F28" s="79">
        <f>E28*2</f>
        <v>286.86</v>
      </c>
      <c r="G28" s="79"/>
      <c r="H28" s="79">
        <v>400</v>
      </c>
      <c r="I28" s="79"/>
      <c r="J28" s="79"/>
      <c r="K28" s="79"/>
    </row>
    <row r="29" spans="1:11" x14ac:dyDescent="0.25">
      <c r="A29" s="79" t="s">
        <v>82</v>
      </c>
      <c r="B29" s="79">
        <v>1</v>
      </c>
      <c r="C29" s="79">
        <v>7.0000000000000007E-2</v>
      </c>
      <c r="D29" s="79">
        <v>2049</v>
      </c>
      <c r="E29" s="79">
        <f>C29*D29</f>
        <v>143.43</v>
      </c>
      <c r="F29" s="79">
        <f>E29*2</f>
        <v>286.86</v>
      </c>
      <c r="G29" s="79"/>
      <c r="H29" s="79">
        <v>400</v>
      </c>
      <c r="I29" s="79"/>
      <c r="J29" s="79"/>
      <c r="K29" s="79"/>
    </row>
    <row r="30" spans="1:11" x14ac:dyDescent="0.25">
      <c r="A30" s="79" t="s">
        <v>83</v>
      </c>
      <c r="B30" s="79">
        <v>2</v>
      </c>
      <c r="C30" s="79">
        <v>2.5000000000000001E-2</v>
      </c>
      <c r="D30" s="79">
        <f>D29*2</f>
        <v>4098</v>
      </c>
      <c r="E30" s="79">
        <f>C30*D30</f>
        <v>102.45</v>
      </c>
      <c r="F30" s="79">
        <f>E30*2</f>
        <v>204.9</v>
      </c>
      <c r="G30" s="79">
        <v>2</v>
      </c>
      <c r="H30" s="79">
        <f>F30*G30</f>
        <v>409.8</v>
      </c>
      <c r="I30" s="79"/>
      <c r="J30" s="79"/>
      <c r="K30" s="79"/>
    </row>
    <row r="32" spans="1:11" ht="22.8" x14ac:dyDescent="0.4">
      <c r="A32" s="88">
        <v>4700</v>
      </c>
      <c r="B32" s="80" t="s">
        <v>9</v>
      </c>
    </row>
    <row r="33" spans="1:2" ht="23.4" x14ac:dyDescent="0.45">
      <c r="A33" s="89">
        <v>2049</v>
      </c>
      <c r="B33" s="80" t="s">
        <v>48</v>
      </c>
    </row>
  </sheetData>
  <pageMargins left="0" right="0" top="0.74803149606299213" bottom="0.74803149606299213" header="0.31496062992125984" footer="0.31496062992125984"/>
  <pageSetup paperSize="9" scale="77" fitToHeight="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7"/>
  <sheetViews>
    <sheetView workbookViewId="0">
      <selection activeCell="G23" sqref="G23"/>
    </sheetView>
  </sheetViews>
  <sheetFormatPr defaultRowHeight="13.2" x14ac:dyDescent="0.25"/>
  <cols>
    <col min="1" max="1" width="26.44140625" customWidth="1"/>
    <col min="4" max="4" width="9.109375" customWidth="1"/>
    <col min="9" max="9" width="9.109375" customWidth="1"/>
    <col min="14" max="14" width="9.109375" hidden="1" customWidth="1"/>
    <col min="19" max="19" width="9.109375" hidden="1" customWidth="1"/>
  </cols>
  <sheetData>
    <row r="3" spans="1:21" ht="52.8" x14ac:dyDescent="0.3">
      <c r="A3" s="77" t="s">
        <v>83</v>
      </c>
      <c r="B3" s="82" t="s">
        <v>84</v>
      </c>
      <c r="C3" s="78" t="s">
        <v>85</v>
      </c>
      <c r="D3" s="79"/>
      <c r="E3" s="78" t="s">
        <v>86</v>
      </c>
      <c r="F3" s="78" t="s">
        <v>89</v>
      </c>
      <c r="G3" s="82" t="s">
        <v>84</v>
      </c>
      <c r="H3" s="78" t="s">
        <v>85</v>
      </c>
      <c r="I3" s="79"/>
      <c r="J3" s="78" t="s">
        <v>86</v>
      </c>
      <c r="K3" s="78" t="s">
        <v>89</v>
      </c>
      <c r="L3" s="82" t="s">
        <v>84</v>
      </c>
      <c r="M3" s="78" t="s">
        <v>85</v>
      </c>
      <c r="N3" s="79"/>
      <c r="O3" s="78" t="s">
        <v>86</v>
      </c>
      <c r="P3" s="78" t="s">
        <v>89</v>
      </c>
      <c r="Q3" s="82" t="s">
        <v>84</v>
      </c>
      <c r="R3" s="78" t="s">
        <v>85</v>
      </c>
      <c r="S3" s="79"/>
      <c r="T3" s="78" t="s">
        <v>86</v>
      </c>
      <c r="U3" s="78" t="s">
        <v>89</v>
      </c>
    </row>
    <row r="4" spans="1:21" x14ac:dyDescent="0.25">
      <c r="A4" s="83" t="s">
        <v>9</v>
      </c>
      <c r="B4" s="80">
        <v>2</v>
      </c>
      <c r="C4" s="79">
        <v>2.5000000000000001E-2</v>
      </c>
      <c r="D4" s="79">
        <v>4700</v>
      </c>
      <c r="E4" s="79">
        <f>B4*D4</f>
        <v>9400</v>
      </c>
      <c r="F4" s="79">
        <f>C4*E4</f>
        <v>235</v>
      </c>
      <c r="G4" s="80">
        <v>2</v>
      </c>
      <c r="H4" s="79">
        <v>2.5000000000000001E-2</v>
      </c>
      <c r="I4" s="79">
        <v>4700</v>
      </c>
      <c r="J4" s="79">
        <f>G4*I4</f>
        <v>9400</v>
      </c>
      <c r="K4" s="79">
        <f>H4*J4</f>
        <v>235</v>
      </c>
      <c r="L4" s="80">
        <v>1</v>
      </c>
      <c r="M4" s="79">
        <v>2.5000000000000001E-2</v>
      </c>
      <c r="N4" s="79">
        <v>4700</v>
      </c>
      <c r="O4" s="79">
        <f>L4*N4</f>
        <v>4700</v>
      </c>
      <c r="P4" s="79">
        <f>M4*O4</f>
        <v>117.5</v>
      </c>
      <c r="Q4" s="80">
        <v>1</v>
      </c>
      <c r="R4" s="79">
        <v>2.5000000000000001E-2</v>
      </c>
      <c r="S4" s="79">
        <v>4700</v>
      </c>
      <c r="T4" s="79">
        <f>Q4*S4</f>
        <v>4700</v>
      </c>
      <c r="U4" s="79">
        <f>R4*T4</f>
        <v>117.5</v>
      </c>
    </row>
    <row r="5" spans="1:21" x14ac:dyDescent="0.25">
      <c r="A5" s="83" t="s">
        <v>48</v>
      </c>
      <c r="B5" s="80">
        <v>2</v>
      </c>
      <c r="C5" s="79">
        <v>2.5000000000000001E-2</v>
      </c>
      <c r="D5" s="79">
        <v>2049</v>
      </c>
      <c r="E5" s="79">
        <f>B5*D5</f>
        <v>4098</v>
      </c>
      <c r="F5" s="79">
        <f>C5*E5</f>
        <v>102.45</v>
      </c>
      <c r="G5" s="80">
        <v>1</v>
      </c>
      <c r="H5" s="79">
        <v>2.5000000000000001E-2</v>
      </c>
      <c r="I5" s="79">
        <v>2049</v>
      </c>
      <c r="J5" s="79">
        <f>G5*I5</f>
        <v>2049</v>
      </c>
      <c r="K5" s="79">
        <f>H5*J5</f>
        <v>51.225000000000001</v>
      </c>
      <c r="L5" s="80">
        <v>2</v>
      </c>
      <c r="M5" s="79">
        <v>2.5000000000000001E-2</v>
      </c>
      <c r="N5" s="79">
        <v>2049</v>
      </c>
      <c r="O5" s="79">
        <f>L5*N5</f>
        <v>4098</v>
      </c>
      <c r="P5" s="79">
        <f>M5*O5</f>
        <v>102.45</v>
      </c>
      <c r="Q5" s="80">
        <v>1</v>
      </c>
      <c r="R5" s="79">
        <v>2.5000000000000001E-2</v>
      </c>
      <c r="S5" s="79">
        <v>2049</v>
      </c>
      <c r="T5" s="79">
        <f>Q5*S5</f>
        <v>2049</v>
      </c>
      <c r="U5" s="79">
        <f>R5*T5</f>
        <v>51.225000000000001</v>
      </c>
    </row>
    <row r="6" spans="1:21" x14ac:dyDescent="0.25">
      <c r="A6" s="143" t="s">
        <v>87</v>
      </c>
      <c r="B6" s="143"/>
      <c r="C6" s="143"/>
      <c r="D6" s="143"/>
      <c r="E6" s="143"/>
      <c r="F6" s="81">
        <f>SUM(F4:F5)</f>
        <v>337.45</v>
      </c>
      <c r="G6" s="84"/>
      <c r="H6" s="84"/>
      <c r="I6" s="84"/>
      <c r="J6" s="84"/>
      <c r="K6" s="81">
        <f>SUM(K4:K5)</f>
        <v>286.22500000000002</v>
      </c>
      <c r="L6" s="84"/>
      <c r="M6" s="84"/>
      <c r="N6" s="84"/>
      <c r="O6" s="84"/>
      <c r="P6" s="81">
        <f>SUM(P4:P5)</f>
        <v>219.95</v>
      </c>
      <c r="Q6" s="84"/>
      <c r="R6" s="84"/>
      <c r="S6" s="84"/>
      <c r="T6" s="84"/>
      <c r="U6" s="81">
        <f>SUM(U4:U5)</f>
        <v>168.72499999999999</v>
      </c>
    </row>
    <row r="7" spans="1:21" x14ac:dyDescent="0.25">
      <c r="A7" s="143" t="s">
        <v>88</v>
      </c>
      <c r="B7" s="143"/>
      <c r="C7" s="143"/>
      <c r="D7" s="143"/>
      <c r="E7" s="143"/>
      <c r="F7" s="81">
        <f>F6*2</f>
        <v>674.9</v>
      </c>
      <c r="G7" s="84"/>
      <c r="H7" s="84"/>
      <c r="I7" s="84"/>
      <c r="J7" s="84"/>
      <c r="K7" s="81">
        <f>K6*2</f>
        <v>572.45000000000005</v>
      </c>
      <c r="L7" s="84"/>
      <c r="M7" s="84"/>
      <c r="N7" s="84"/>
      <c r="O7" s="84"/>
      <c r="P7" s="81">
        <f>P6*2</f>
        <v>439.9</v>
      </c>
      <c r="Q7" s="84"/>
      <c r="R7" s="84"/>
      <c r="S7" s="84"/>
      <c r="T7" s="84"/>
      <c r="U7" s="81">
        <f>U6*2</f>
        <v>337.45</v>
      </c>
    </row>
  </sheetData>
  <mergeCells count="2">
    <mergeCell ref="A6:E6"/>
    <mergeCell ref="A7:E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2 недельное</vt:lpstr>
      <vt:lpstr>Лист3</vt:lpstr>
      <vt:lpstr>Лист4</vt:lpstr>
      <vt:lpstr>'2 недельное'!Заголовки_для_печати</vt:lpstr>
    </vt:vector>
  </TitlesOfParts>
  <Company>Организация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Лысенко</dc:creator>
  <cp:lastModifiedBy>User</cp:lastModifiedBy>
  <cp:lastPrinted>2024-08-14T14:21:02Z</cp:lastPrinted>
  <dcterms:created xsi:type="dcterms:W3CDTF">2017-07-26T06:10:42Z</dcterms:created>
  <dcterms:modified xsi:type="dcterms:W3CDTF">2024-09-16T14:11:04Z</dcterms:modified>
</cp:coreProperties>
</file>